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tartseite" sheetId="1" r:id="rId1"/>
    <sheet name="BERECHNUNGEN" sheetId="2" r:id="rId2"/>
  </sheets>
  <definedNames/>
  <calcPr fullCalcOnLoad="1"/>
</workbook>
</file>

<file path=xl/sharedStrings.xml><?xml version="1.0" encoding="utf-8"?>
<sst xmlns="http://schemas.openxmlformats.org/spreadsheetml/2006/main" count="346" uniqueCount="165">
  <si>
    <t>Ergebnis</t>
  </si>
  <si>
    <t>Dezimal "Grad"</t>
  </si>
  <si>
    <r>
      <t xml:space="preserve">Winkel </t>
    </r>
    <r>
      <rPr>
        <sz val="10"/>
        <rFont val="Arial"/>
        <family val="2"/>
      </rPr>
      <t>α</t>
    </r>
  </si>
  <si>
    <r>
      <t>π</t>
    </r>
    <r>
      <rPr>
        <b/>
        <sz val="10"/>
        <rFont val="Times New Roman"/>
        <family val="1"/>
      </rPr>
      <t>( Phi )</t>
    </r>
  </si>
  <si>
    <t>Ing Michael Bican</t>
  </si>
  <si>
    <t>www.bican.at</t>
  </si>
  <si>
    <t>Praktische Be- und Umrechnungen</t>
  </si>
  <si>
    <t xml:space="preserve">2.) Geben Sie im grünen Eingabefeld die Zahl ein. </t>
  </si>
  <si>
    <t>3.) Nach der Eingabe der Zahl, drücken sie "Enter" mit dem Zeilenvorschub</t>
  </si>
  <si>
    <t>4.) Das Programm errechnet den gewünschten Wert</t>
  </si>
  <si>
    <t xml:space="preserve">6.) Die Berechnungen sind wie immer ohne Gewähr </t>
  </si>
  <si>
    <t>1. ) Lesen Sie einfach diese Beschreibung durch und öffnen sie anschließend "BERECHNUNGEN" im unteren Taskfeld</t>
  </si>
  <si>
    <t>5.) Die Berechnungsfelder sind "Scheibgeschützt" - verwenden Sie trotzdem nur die grünen Felder</t>
  </si>
  <si>
    <t>Wünsche viel Spaß - und sage Danke für Anregungen</t>
  </si>
  <si>
    <t>Standard Luftdruck</t>
  </si>
  <si>
    <t>kPascal</t>
  </si>
  <si>
    <t>Volumen</t>
  </si>
  <si>
    <t>m³</t>
  </si>
  <si>
    <t>Fahrenheit ( °F)</t>
  </si>
  <si>
    <t>Kelvin ( °K)</t>
  </si>
  <si>
    <t>Celsius (°C)</t>
  </si>
  <si>
    <t>Brutto</t>
  </si>
  <si>
    <t>Diff</t>
  </si>
  <si>
    <t>1ha = 10.000m²</t>
  </si>
  <si>
    <t>1ha = 100a</t>
  </si>
  <si>
    <t>km/ Liter</t>
  </si>
  <si>
    <t>Prozent</t>
  </si>
  <si>
    <t>Differenz</t>
  </si>
  <si>
    <t>Prozent plus</t>
  </si>
  <si>
    <t>Voluminas</t>
  </si>
  <si>
    <t>km</t>
  </si>
  <si>
    <t>Mile ( Statute )</t>
  </si>
  <si>
    <t>Flächen</t>
  </si>
  <si>
    <t>m²</t>
  </si>
  <si>
    <t>a</t>
  </si>
  <si>
    <t>ha</t>
  </si>
  <si>
    <t>km²</t>
  </si>
  <si>
    <t>USA</t>
  </si>
  <si>
    <t>arces</t>
  </si>
  <si>
    <t>square miles</t>
  </si>
  <si>
    <t>square miles (mi²)</t>
  </si>
  <si>
    <t>yards²</t>
  </si>
  <si>
    <t>Knoten</t>
  </si>
  <si>
    <t>OHNE GEWÄHR</t>
  </si>
  <si>
    <t>Sinus</t>
  </si>
  <si>
    <t>Cosinus</t>
  </si>
  <si>
    <t>Tangens</t>
  </si>
  <si>
    <t>Winkelfunktionen</t>
  </si>
  <si>
    <t>Meilen/h</t>
  </si>
  <si>
    <t>Kelvin</t>
  </si>
  <si>
    <t>Höhe</t>
  </si>
  <si>
    <t>mile ( Nautic )</t>
  </si>
  <si>
    <t>Mile ( geogr )</t>
  </si>
  <si>
    <t>mile stat</t>
  </si>
  <si>
    <t>mile naut</t>
  </si>
  <si>
    <t>mile geogr</t>
  </si>
  <si>
    <t>Lichtjahr</t>
  </si>
  <si>
    <t>A.E.</t>
  </si>
  <si>
    <t>Astronomisch</t>
  </si>
  <si>
    <t>Massen</t>
  </si>
  <si>
    <t>Gramm</t>
  </si>
  <si>
    <t>Kg</t>
  </si>
  <si>
    <t>kg</t>
  </si>
  <si>
    <t>t</t>
  </si>
  <si>
    <t>troy ounce</t>
  </si>
  <si>
    <t>avdp ounce</t>
  </si>
  <si>
    <t>long tons</t>
  </si>
  <si>
    <t>short tons</t>
  </si>
  <si>
    <t>pound (avdp ounce)</t>
  </si>
  <si>
    <t>Liter</t>
  </si>
  <si>
    <t>US Gallonen</t>
  </si>
  <si>
    <t>UK Gallonen</t>
  </si>
  <si>
    <t>Meter³</t>
  </si>
  <si>
    <t>Zeit</t>
  </si>
  <si>
    <t>Stunden</t>
  </si>
  <si>
    <t>Minuten</t>
  </si>
  <si>
    <t>Sec</t>
  </si>
  <si>
    <t>Dezimal</t>
  </si>
  <si>
    <t>Grad</t>
  </si>
  <si>
    <t>Mostwaage</t>
  </si>
  <si>
    <t>Klosterneuburger</t>
  </si>
  <si>
    <t>Umrechnung</t>
  </si>
  <si>
    <t>ATS</t>
  </si>
  <si>
    <t>EURO</t>
  </si>
  <si>
    <t>Temperatur</t>
  </si>
  <si>
    <t>Kreis</t>
  </si>
  <si>
    <t>Fläche</t>
  </si>
  <si>
    <t>Celsius</t>
  </si>
  <si>
    <t>Fahrenheit</t>
  </si>
  <si>
    <t>Radius</t>
  </si>
  <si>
    <t>Durchmesser</t>
  </si>
  <si>
    <t>Längen</t>
  </si>
  <si>
    <t>mm</t>
  </si>
  <si>
    <t>inch</t>
  </si>
  <si>
    <t>m</t>
  </si>
  <si>
    <t>Quadrat</t>
  </si>
  <si>
    <t>Seite</t>
  </si>
  <si>
    <t>yard</t>
  </si>
  <si>
    <t>Rechteck</t>
  </si>
  <si>
    <t>Länge</t>
  </si>
  <si>
    <t>feet ( ft)</t>
  </si>
  <si>
    <t>Breite</t>
  </si>
  <si>
    <t>feet (ft)</t>
  </si>
  <si>
    <t>Trapez</t>
  </si>
  <si>
    <t>Eingabe</t>
  </si>
  <si>
    <t>Kubieren</t>
  </si>
  <si>
    <t>Römisch</t>
  </si>
  <si>
    <t>Zahl</t>
  </si>
  <si>
    <t>n-te</t>
  </si>
  <si>
    <t>nte Wurzel</t>
  </si>
  <si>
    <t>Prozent minus</t>
  </si>
  <si>
    <t>nte Hochzahl</t>
  </si>
  <si>
    <t>Jahr</t>
  </si>
  <si>
    <t>Gallonen</t>
  </si>
  <si>
    <t>US</t>
  </si>
  <si>
    <t>UK</t>
  </si>
  <si>
    <t>Bogenmaß</t>
  </si>
  <si>
    <t>Geschindigkeiten</t>
  </si>
  <si>
    <t>km/h</t>
  </si>
  <si>
    <t>m/s</t>
  </si>
  <si>
    <t>Längen in cm</t>
  </si>
  <si>
    <t>Zoll inch</t>
  </si>
  <si>
    <t>Genauigkeit in 1/32</t>
  </si>
  <si>
    <t>Genauigkeit in 1/16</t>
  </si>
  <si>
    <t>Funktion</t>
  </si>
  <si>
    <t>Parsec</t>
  </si>
  <si>
    <t>DIVERSE PRAKTISCHE BERECHNUNGEN</t>
  </si>
  <si>
    <t>1a = 100m²</t>
  </si>
  <si>
    <t>MwSt</t>
  </si>
  <si>
    <t>Netto</t>
  </si>
  <si>
    <t>Umfang</t>
  </si>
  <si>
    <t>Wein</t>
  </si>
  <si>
    <t>KMW</t>
  </si>
  <si>
    <t>Vol% Alkohol</t>
  </si>
  <si>
    <t>Öchsle</t>
  </si>
  <si>
    <t>Dichte g/l</t>
  </si>
  <si>
    <t>Réaumure</t>
  </si>
  <si>
    <t>Réaumure (°Ré)</t>
  </si>
  <si>
    <t>Sternzeit</t>
  </si>
  <si>
    <t>1h=15°</t>
  </si>
  <si>
    <t>Dezimal "h"</t>
  </si>
  <si>
    <t>Monatsberechnung</t>
  </si>
  <si>
    <t>Euroumrechnung</t>
  </si>
  <si>
    <t>PS / kW Umrechnung</t>
  </si>
  <si>
    <t>PS</t>
  </si>
  <si>
    <t>kW</t>
  </si>
  <si>
    <t>Monat</t>
  </si>
  <si>
    <t>Monate</t>
  </si>
  <si>
    <t>Euro</t>
  </si>
  <si>
    <t>Schilling</t>
  </si>
  <si>
    <t>Umrechnungen</t>
  </si>
  <si>
    <t>atm ( techn)</t>
  </si>
  <si>
    <t>Bar</t>
  </si>
  <si>
    <t>Millibar</t>
  </si>
  <si>
    <t>mmHg 0°C</t>
  </si>
  <si>
    <t>Pascal ( N/m²)</t>
  </si>
  <si>
    <t>Pascal(N/m²)</t>
  </si>
  <si>
    <t>Druck</t>
  </si>
  <si>
    <t>Barrel</t>
  </si>
  <si>
    <t>Basis</t>
  </si>
  <si>
    <t>Obere Länge</t>
  </si>
  <si>
    <t>Miles per Gallons (US)</t>
  </si>
  <si>
    <t>Goldener Schnitt</t>
  </si>
  <si>
    <t>b</t>
  </si>
  <si>
    <t>a+b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</si>
</sst>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öS&quot;\ * #,##0.00_-;\-&quot;öS&quot;\ * #,##0.00_-;_-&quot;öS&quot;\ * &quot;-&quot;??_-;_-@_-"/>
    <numFmt numFmtId="166" formatCode="_-&quot;öS&quot;\ * #,##0_-;\-&quot;öS&quot;\ * #,##0_-;_-&quot;öS&quot;\ * &quot;-&quot;_-;_-@_-"/>
    <numFmt numFmtId="167" formatCode="#,##0.000"/>
    <numFmt numFmtId="168" formatCode="0.0000000"/>
    <numFmt numFmtId="169" formatCode="0.00000000000000"/>
    <numFmt numFmtId="170" formatCode="0.00000000"/>
    <numFmt numFmtId="171" formatCode="#,##0.0"/>
    <numFmt numFmtId="172" formatCode="0.000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10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0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4" fontId="5" fillId="34" borderId="17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34" borderId="20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/>
    </xf>
    <xf numFmtId="4" fontId="0" fillId="0" borderId="19" xfId="0" applyNumberFormat="1" applyBorder="1" applyAlignment="1">
      <alignment/>
    </xf>
    <xf numFmtId="0" fontId="0" fillId="34" borderId="2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34" borderId="22" xfId="0" applyNumberFormat="1" applyFill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34" borderId="17" xfId="0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20" xfId="0" applyFill="1" applyBorder="1" applyAlignment="1">
      <alignment horizontal="center"/>
    </xf>
    <xf numFmtId="4" fontId="0" fillId="34" borderId="23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0" fontId="6" fillId="0" borderId="12" xfId="0" applyFont="1" applyBorder="1" applyAlignment="1">
      <alignment/>
    </xf>
    <xf numFmtId="0" fontId="0" fillId="34" borderId="24" xfId="0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4" fontId="0" fillId="34" borderId="27" xfId="0" applyNumberFormat="1" applyFill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15" xfId="0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31" xfId="0" applyBorder="1" applyAlignment="1">
      <alignment/>
    </xf>
    <xf numFmtId="4" fontId="0" fillId="34" borderId="32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34" borderId="36" xfId="0" applyFill="1" applyBorder="1" applyAlignment="1">
      <alignment/>
    </xf>
    <xf numFmtId="4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7" fillId="0" borderId="18" xfId="0" applyFont="1" applyBorder="1" applyAlignment="1">
      <alignment/>
    </xf>
    <xf numFmtId="0" fontId="0" fillId="34" borderId="2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Fill="1" applyBorder="1" applyAlignment="1">
      <alignment/>
    </xf>
    <xf numFmtId="0" fontId="0" fillId="34" borderId="40" xfId="0" applyFill="1" applyBorder="1" applyAlignment="1">
      <alignment/>
    </xf>
    <xf numFmtId="4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34" borderId="43" xfId="0" applyFill="1" applyBorder="1" applyAlignment="1">
      <alignment/>
    </xf>
    <xf numFmtId="4" fontId="0" fillId="0" borderId="44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6" xfId="0" applyBorder="1" applyAlignment="1">
      <alignment/>
    </xf>
    <xf numFmtId="0" fontId="0" fillId="0" borderId="21" xfId="0" applyFill="1" applyBorder="1" applyAlignment="1">
      <alignment/>
    </xf>
    <xf numFmtId="0" fontId="3" fillId="0" borderId="19" xfId="0" applyFont="1" applyBorder="1" applyAlignment="1">
      <alignment horizontal="left"/>
    </xf>
    <xf numFmtId="0" fontId="0" fillId="0" borderId="14" xfId="0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0" fontId="0" fillId="0" borderId="28" xfId="0" applyFill="1" applyBorder="1" applyAlignment="1">
      <alignment/>
    </xf>
    <xf numFmtId="0" fontId="0" fillId="34" borderId="27" xfId="0" applyFill="1" applyBorder="1" applyAlignment="1">
      <alignment/>
    </xf>
    <xf numFmtId="0" fontId="8" fillId="0" borderId="11" xfId="0" applyFont="1" applyBorder="1" applyAlignment="1">
      <alignment horizontal="center"/>
    </xf>
    <xf numFmtId="168" fontId="0" fillId="0" borderId="44" xfId="0" applyNumberFormat="1" applyBorder="1" applyAlignment="1">
      <alignment horizontal="center"/>
    </xf>
    <xf numFmtId="0" fontId="0" fillId="0" borderId="45" xfId="0" applyFill="1" applyBorder="1" applyAlignment="1">
      <alignment/>
    </xf>
    <xf numFmtId="4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168" fontId="0" fillId="0" borderId="26" xfId="0" applyNumberFormat="1" applyBorder="1" applyAlignment="1">
      <alignment horizontal="center"/>
    </xf>
    <xf numFmtId="0" fontId="0" fillId="34" borderId="48" xfId="0" applyFill="1" applyBorder="1" applyAlignment="1">
      <alignment/>
    </xf>
    <xf numFmtId="168" fontId="0" fillId="34" borderId="24" xfId="0" applyNumberFormat="1" applyFill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168" fontId="0" fillId="34" borderId="23" xfId="0" applyNumberForma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45" xfId="0" applyBorder="1" applyAlignment="1">
      <alignment/>
    </xf>
    <xf numFmtId="3" fontId="0" fillId="34" borderId="27" xfId="0" applyNumberForma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0" borderId="49" xfId="0" applyBorder="1" applyAlignment="1">
      <alignment/>
    </xf>
    <xf numFmtId="0" fontId="0" fillId="34" borderId="24" xfId="0" applyFill="1" applyBorder="1" applyAlignment="1">
      <alignment/>
    </xf>
    <xf numFmtId="0" fontId="0" fillId="0" borderId="50" xfId="0" applyBorder="1" applyAlignment="1">
      <alignment/>
    </xf>
    <xf numFmtId="0" fontId="0" fillId="0" borderId="20" xfId="0" applyBorder="1" applyAlignment="1">
      <alignment horizontal="center"/>
    </xf>
    <xf numFmtId="0" fontId="0" fillId="34" borderId="51" xfId="0" applyFill="1" applyBorder="1" applyAlignment="1">
      <alignment/>
    </xf>
    <xf numFmtId="0" fontId="0" fillId="0" borderId="52" xfId="0" applyBorder="1" applyAlignment="1">
      <alignment/>
    </xf>
    <xf numFmtId="0" fontId="0" fillId="34" borderId="53" xfId="0" applyFill="1" applyBorder="1" applyAlignment="1">
      <alignment horizontal="center"/>
    </xf>
    <xf numFmtId="0" fontId="0" fillId="0" borderId="54" xfId="0" applyBorder="1" applyAlignment="1">
      <alignment/>
    </xf>
    <xf numFmtId="170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34" borderId="22" xfId="0" applyFill="1" applyBorder="1" applyAlignment="1">
      <alignment/>
    </xf>
    <xf numFmtId="0" fontId="3" fillId="0" borderId="0" xfId="0" applyFont="1" applyAlignment="1">
      <alignment/>
    </xf>
    <xf numFmtId="4" fontId="0" fillId="34" borderId="55" xfId="0" applyNumberFormat="1" applyFill="1" applyBorder="1" applyAlignment="1">
      <alignment horizontal="right" wrapText="1"/>
    </xf>
    <xf numFmtId="4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39" xfId="0" applyBorder="1" applyAlignment="1">
      <alignment/>
    </xf>
    <xf numFmtId="0" fontId="0" fillId="34" borderId="56" xfId="0" applyFill="1" applyBorder="1" applyAlignment="1">
      <alignment horizontal="center"/>
    </xf>
    <xf numFmtId="0" fontId="0" fillId="0" borderId="44" xfId="0" applyBorder="1" applyAlignment="1">
      <alignment/>
    </xf>
    <xf numFmtId="4" fontId="0" fillId="0" borderId="0" xfId="0" applyNumberFormat="1" applyBorder="1" applyAlignment="1">
      <alignment/>
    </xf>
    <xf numFmtId="171" fontId="0" fillId="34" borderId="22" xfId="0" applyNumberFormat="1" applyFill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170" fontId="0" fillId="0" borderId="11" xfId="0" applyNumberFormat="1" applyBorder="1" applyAlignment="1">
      <alignment/>
    </xf>
    <xf numFmtId="172" fontId="0" fillId="0" borderId="26" xfId="0" applyNumberFormat="1" applyBorder="1" applyAlignment="1">
      <alignment horizontal="center"/>
    </xf>
    <xf numFmtId="0" fontId="0" fillId="0" borderId="58" xfId="0" applyBorder="1" applyAlignment="1">
      <alignment/>
    </xf>
    <xf numFmtId="0" fontId="0" fillId="34" borderId="59" xfId="0" applyFill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34" borderId="62" xfId="0" applyFill="1" applyBorder="1" applyAlignment="1">
      <alignment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1" fillId="0" borderId="16" xfId="0" applyFont="1" applyBorder="1" applyAlignment="1">
      <alignment/>
    </xf>
    <xf numFmtId="170" fontId="0" fillId="0" borderId="16" xfId="0" applyNumberFormat="1" applyBorder="1" applyAlignment="1">
      <alignment/>
    </xf>
    <xf numFmtId="170" fontId="12" fillId="0" borderId="16" xfId="0" applyNumberFormat="1" applyFont="1" applyBorder="1" applyAlignment="1">
      <alignment/>
    </xf>
    <xf numFmtId="0" fontId="0" fillId="34" borderId="53" xfId="0" applyFill="1" applyBorder="1" applyAlignment="1">
      <alignment/>
    </xf>
    <xf numFmtId="4" fontId="0" fillId="0" borderId="13" xfId="0" applyNumberFormat="1" applyBorder="1" applyAlignment="1">
      <alignment/>
    </xf>
    <xf numFmtId="0" fontId="0" fillId="34" borderId="20" xfId="0" applyFill="1" applyBorder="1" applyAlignment="1">
      <alignment/>
    </xf>
    <xf numFmtId="0" fontId="11" fillId="0" borderId="21" xfId="0" applyFont="1" applyBorder="1" applyAlignment="1">
      <alignment/>
    </xf>
    <xf numFmtId="4" fontId="0" fillId="0" borderId="58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34" borderId="48" xfId="0" applyFill="1" applyBorder="1" applyAlignment="1">
      <alignment horizontal="right"/>
    </xf>
    <xf numFmtId="0" fontId="0" fillId="34" borderId="63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0" fillId="34" borderId="65" xfId="0" applyFill="1" applyBorder="1" applyAlignment="1">
      <alignment horizontal="center"/>
    </xf>
    <xf numFmtId="0" fontId="0" fillId="34" borderId="66" xfId="0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68" xfId="0" applyFill="1" applyBorder="1" applyAlignment="1">
      <alignment/>
    </xf>
    <xf numFmtId="0" fontId="0" fillId="0" borderId="37" xfId="0" applyBorder="1" applyAlignment="1">
      <alignment/>
    </xf>
    <xf numFmtId="0" fontId="0" fillId="34" borderId="68" xfId="0" applyFill="1" applyBorder="1" applyAlignment="1">
      <alignment horizontal="center"/>
    </xf>
    <xf numFmtId="0" fontId="0" fillId="34" borderId="69" xfId="0" applyFill="1" applyBorder="1" applyAlignment="1">
      <alignment/>
    </xf>
    <xf numFmtId="0" fontId="0" fillId="0" borderId="41" xfId="0" applyBorder="1" applyAlignment="1">
      <alignment/>
    </xf>
    <xf numFmtId="0" fontId="0" fillId="34" borderId="70" xfId="0" applyFill="1" applyBorder="1" applyAlignment="1">
      <alignment horizontal="center"/>
    </xf>
    <xf numFmtId="0" fontId="0" fillId="34" borderId="71" xfId="0" applyFill="1" applyBorder="1" applyAlignment="1">
      <alignment/>
    </xf>
    <xf numFmtId="0" fontId="0" fillId="34" borderId="7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72" xfId="0" applyFill="1" applyBorder="1" applyAlignment="1">
      <alignment/>
    </xf>
    <xf numFmtId="0" fontId="0" fillId="0" borderId="73" xfId="0" applyBorder="1" applyAlignment="1">
      <alignment/>
    </xf>
    <xf numFmtId="0" fontId="0" fillId="35" borderId="0" xfId="0" applyFill="1" applyBorder="1" applyAlignment="1">
      <alignment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left"/>
    </xf>
    <xf numFmtId="0" fontId="0" fillId="34" borderId="74" xfId="0" applyFill="1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34" borderId="75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7" borderId="78" xfId="0" applyFill="1" applyBorder="1" applyAlignment="1">
      <alignment horizontal="left"/>
    </xf>
    <xf numFmtId="0" fontId="0" fillId="37" borderId="79" xfId="0" applyFill="1" applyBorder="1" applyAlignment="1">
      <alignment horizontal="left"/>
    </xf>
    <xf numFmtId="0" fontId="0" fillId="37" borderId="80" xfId="0" applyFill="1" applyBorder="1" applyAlignment="1">
      <alignment horizontal="left"/>
    </xf>
    <xf numFmtId="0" fontId="0" fillId="34" borderId="78" xfId="0" applyFill="1" applyBorder="1" applyAlignment="1">
      <alignment horizontal="left"/>
    </xf>
    <xf numFmtId="0" fontId="0" fillId="34" borderId="79" xfId="0" applyFill="1" applyBorder="1" applyAlignment="1">
      <alignment horizontal="left"/>
    </xf>
    <xf numFmtId="0" fontId="0" fillId="34" borderId="80" xfId="0" applyFill="1" applyBorder="1" applyAlignment="1">
      <alignment horizontal="left"/>
    </xf>
    <xf numFmtId="0" fontId="0" fillId="38" borderId="78" xfId="0" applyFill="1" applyBorder="1" applyAlignment="1">
      <alignment horizontal="left"/>
    </xf>
    <xf numFmtId="0" fontId="0" fillId="38" borderId="79" xfId="0" applyFill="1" applyBorder="1" applyAlignment="1">
      <alignment horizontal="left"/>
    </xf>
    <xf numFmtId="0" fontId="0" fillId="38" borderId="80" xfId="0" applyFill="1" applyBorder="1" applyAlignment="1">
      <alignment horizontal="left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2" fillId="0" borderId="0" xfId="48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9" borderId="78" xfId="0" applyFill="1" applyBorder="1" applyAlignment="1">
      <alignment horizontal="left"/>
    </xf>
    <xf numFmtId="0" fontId="0" fillId="39" borderId="79" xfId="0" applyFill="1" applyBorder="1" applyAlignment="1">
      <alignment horizontal="left"/>
    </xf>
    <xf numFmtId="0" fontId="0" fillId="39" borderId="80" xfId="0" applyFill="1" applyBorder="1" applyAlignment="1">
      <alignment horizontal="left"/>
    </xf>
    <xf numFmtId="0" fontId="0" fillId="40" borderId="78" xfId="0" applyFill="1" applyBorder="1" applyAlignment="1">
      <alignment horizontal="left"/>
    </xf>
    <xf numFmtId="0" fontId="0" fillId="40" borderId="79" xfId="0" applyFill="1" applyBorder="1" applyAlignment="1">
      <alignment horizontal="left"/>
    </xf>
    <xf numFmtId="0" fontId="0" fillId="40" borderId="80" xfId="0" applyFill="1" applyBorder="1" applyAlignment="1">
      <alignment horizontal="left"/>
    </xf>
    <xf numFmtId="167" fontId="3" fillId="0" borderId="18" xfId="0" applyNumberFormat="1" applyFon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9" fontId="0" fillId="0" borderId="0" xfId="0" applyNumberFormat="1" applyBorder="1" applyAlignment="1">
      <alignment horizontal="left"/>
    </xf>
    <xf numFmtId="0" fontId="4" fillId="41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B3" sqref="B3:H3"/>
    </sheetView>
  </sheetViews>
  <sheetFormatPr defaultColWidth="11.421875" defaultRowHeight="12.75"/>
  <cols>
    <col min="1" max="16384" width="11.421875" style="167" customWidth="1"/>
  </cols>
  <sheetData>
    <row r="1" spans="1:10" ht="12.75">
      <c r="A1" s="168"/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3.5" thickBo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3.5" thickBot="1">
      <c r="A3"/>
      <c r="B3" s="177" t="s">
        <v>6</v>
      </c>
      <c r="C3" s="178"/>
      <c r="D3" s="178"/>
      <c r="E3" s="178"/>
      <c r="F3" s="178"/>
      <c r="G3" s="178"/>
      <c r="H3" s="179"/>
      <c r="I3"/>
      <c r="J3" s="169"/>
    </row>
    <row r="4" spans="1:10" ht="12.75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2.75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0" ht="12.75">
      <c r="A6" s="180" t="s">
        <v>11</v>
      </c>
      <c r="B6" s="181"/>
      <c r="C6" s="181"/>
      <c r="D6" s="181"/>
      <c r="E6" s="181"/>
      <c r="F6" s="181"/>
      <c r="G6" s="181"/>
      <c r="H6" s="181"/>
      <c r="I6" s="182"/>
      <c r="J6" s="169"/>
    </row>
    <row r="7" spans="1:10" ht="12.75">
      <c r="A7" s="169"/>
      <c r="B7" s="169"/>
      <c r="C7" s="169"/>
      <c r="D7" s="169"/>
      <c r="E7" s="169"/>
      <c r="F7" s="169"/>
      <c r="G7" s="169"/>
      <c r="H7" s="169"/>
      <c r="I7" s="169"/>
      <c r="J7" s="169"/>
    </row>
    <row r="8" spans="1:10" ht="12.75">
      <c r="A8" s="183" t="s">
        <v>7</v>
      </c>
      <c r="B8" s="184"/>
      <c r="C8" s="184"/>
      <c r="D8" s="184"/>
      <c r="E8" s="184"/>
      <c r="F8" s="184"/>
      <c r="G8" s="184"/>
      <c r="H8" s="184"/>
      <c r="I8" s="185"/>
      <c r="J8" s="169"/>
    </row>
    <row r="9" spans="1:10" ht="12.75">
      <c r="A9" s="170"/>
      <c r="B9" s="170"/>
      <c r="C9" s="170"/>
      <c r="D9" s="170"/>
      <c r="E9" s="170"/>
      <c r="F9" s="170"/>
      <c r="G9" s="170"/>
      <c r="H9" s="170"/>
      <c r="I9" s="170"/>
      <c r="J9" s="169"/>
    </row>
    <row r="10" spans="1:10" ht="12.75">
      <c r="A10" s="186" t="s">
        <v>8</v>
      </c>
      <c r="B10" s="187"/>
      <c r="C10" s="187"/>
      <c r="D10" s="187"/>
      <c r="E10" s="187"/>
      <c r="F10" s="187"/>
      <c r="G10" s="187"/>
      <c r="H10" s="187"/>
      <c r="I10" s="188"/>
      <c r="J10" s="169"/>
    </row>
    <row r="11" spans="1:10" ht="12.75">
      <c r="A11" s="169"/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ht="12.75">
      <c r="A12" s="183" t="s">
        <v>9</v>
      </c>
      <c r="B12" s="184"/>
      <c r="C12" s="184"/>
      <c r="D12" s="184"/>
      <c r="E12" s="184"/>
      <c r="F12" s="184"/>
      <c r="G12" s="184"/>
      <c r="H12" s="184"/>
      <c r="I12" s="185"/>
      <c r="J12" s="169"/>
    </row>
    <row r="13" spans="1:10" ht="12.75">
      <c r="A13" s="169"/>
      <c r="B13" s="169"/>
      <c r="C13" s="169"/>
      <c r="D13" s="169"/>
      <c r="E13" s="169"/>
      <c r="F13" s="169"/>
      <c r="G13" s="169"/>
      <c r="H13" s="169"/>
      <c r="I13" s="169"/>
      <c r="J13" s="169"/>
    </row>
    <row r="14" spans="1:10" ht="12.75">
      <c r="A14" s="194" t="s">
        <v>12</v>
      </c>
      <c r="B14" s="195"/>
      <c r="C14" s="195"/>
      <c r="D14" s="195"/>
      <c r="E14" s="195"/>
      <c r="F14" s="195"/>
      <c r="G14" s="195"/>
      <c r="H14" s="195"/>
      <c r="I14" s="196"/>
      <c r="J14" s="169"/>
    </row>
    <row r="15" spans="1:10" ht="12.75">
      <c r="A15" s="169"/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ht="12.75">
      <c r="A16" s="197" t="s">
        <v>10</v>
      </c>
      <c r="B16" s="198"/>
      <c r="C16" s="198"/>
      <c r="D16" s="198"/>
      <c r="E16" s="198"/>
      <c r="F16" s="198"/>
      <c r="G16" s="198"/>
      <c r="H16" s="198"/>
      <c r="I16" s="199"/>
      <c r="J16" s="169"/>
    </row>
    <row r="17" spans="1:9" ht="12.75">
      <c r="A17" s="169"/>
      <c r="B17" s="169"/>
      <c r="C17" s="169"/>
      <c r="D17" s="169"/>
      <c r="E17" s="169"/>
      <c r="F17" s="169"/>
      <c r="G17" s="169"/>
      <c r="H17" s="169"/>
      <c r="I17" s="169"/>
    </row>
    <row r="18" spans="1:9" ht="12.75">
      <c r="A18" s="169"/>
      <c r="B18" s="169"/>
      <c r="C18" s="169"/>
      <c r="D18" s="169"/>
      <c r="E18" s="169"/>
      <c r="F18" s="169"/>
      <c r="G18" s="169"/>
      <c r="H18" s="169"/>
      <c r="I18" s="169"/>
    </row>
    <row r="19" spans="1:9" ht="12.75">
      <c r="A19" s="189" t="s">
        <v>13</v>
      </c>
      <c r="B19" s="190"/>
      <c r="C19" s="190"/>
      <c r="D19" s="190"/>
      <c r="E19" s="190"/>
      <c r="F19" s="190"/>
      <c r="G19" s="190"/>
      <c r="H19" s="190"/>
      <c r="I19" s="191"/>
    </row>
    <row r="20" spans="1:9" ht="12.75">
      <c r="A20" s="169"/>
      <c r="B20" s="169"/>
      <c r="C20" s="169"/>
      <c r="D20" s="169"/>
      <c r="E20" s="169"/>
      <c r="F20" s="169"/>
      <c r="G20" s="169"/>
      <c r="H20" s="169"/>
      <c r="I20" s="169"/>
    </row>
    <row r="21" spans="1:9" ht="12.75">
      <c r="A21" s="169"/>
      <c r="B21" s="169"/>
      <c r="C21" s="169"/>
      <c r="D21" s="169"/>
      <c r="E21" s="169"/>
      <c r="F21" s="169"/>
      <c r="G21" s="189" t="s">
        <v>4</v>
      </c>
      <c r="H21" s="190"/>
      <c r="I21" s="191"/>
    </row>
    <row r="22" spans="1:9" ht="12.75">
      <c r="A22" s="169"/>
      <c r="B22" s="169"/>
      <c r="C22" s="169"/>
      <c r="D22" s="169"/>
      <c r="E22" s="169"/>
      <c r="F22" s="169"/>
      <c r="G22" s="169"/>
      <c r="H22" s="169"/>
      <c r="I22" s="169"/>
    </row>
    <row r="23" spans="1:9" ht="12.75">
      <c r="A23" s="169"/>
      <c r="B23" s="169"/>
      <c r="C23" s="169"/>
      <c r="D23" s="169"/>
      <c r="E23" s="169"/>
      <c r="F23" s="169"/>
      <c r="G23" s="192" t="s">
        <v>5</v>
      </c>
      <c r="H23" s="193"/>
      <c r="I23" s="193"/>
    </row>
    <row r="24" spans="1:9" ht="12.75">
      <c r="A24" s="169"/>
      <c r="B24" s="169"/>
      <c r="C24" s="169"/>
      <c r="D24" s="169"/>
      <c r="E24" s="169"/>
      <c r="F24" s="169"/>
      <c r="G24" s="169"/>
      <c r="H24" s="169"/>
      <c r="I24" s="169"/>
    </row>
    <row r="25" spans="1:9" ht="12.75">
      <c r="A25" s="169"/>
      <c r="B25" s="169"/>
      <c r="C25" s="169"/>
      <c r="D25" s="169"/>
      <c r="E25" s="169"/>
      <c r="F25" s="169"/>
      <c r="G25" s="169"/>
      <c r="H25" s="169"/>
      <c r="I25" s="169"/>
    </row>
    <row r="26" spans="1:9" ht="12.75">
      <c r="A26" s="169"/>
      <c r="B26" s="169"/>
      <c r="C26" s="169"/>
      <c r="D26" s="169"/>
      <c r="E26" s="169"/>
      <c r="F26" s="169"/>
      <c r="G26" s="169"/>
      <c r="H26" s="169"/>
      <c r="I26" s="169"/>
    </row>
  </sheetData>
  <sheetProtection/>
  <mergeCells count="10">
    <mergeCell ref="G23:I23"/>
    <mergeCell ref="A12:I12"/>
    <mergeCell ref="A14:I14"/>
    <mergeCell ref="A16:I16"/>
    <mergeCell ref="B3:H3"/>
    <mergeCell ref="A6:I6"/>
    <mergeCell ref="A8:I8"/>
    <mergeCell ref="A10:I10"/>
    <mergeCell ref="A19:I19"/>
    <mergeCell ref="G21:I21"/>
  </mergeCells>
  <dataValidations count="1">
    <dataValidation type="textLength" allowBlank="1" showInputMessage="1" showErrorMessage="1" errorTitle="Hier steht ein Text!" error="Hier steht ein Text!" sqref="A1:J27">
      <formula1>0</formula1>
      <formula2>0</formula2>
    </dataValidation>
  </dataValidations>
  <hyperlinks>
    <hyperlink ref="G23" r:id="rId1" display="www.bican.at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"/>
  <sheetViews>
    <sheetView zoomScale="85" zoomScaleNormal="85" zoomScalePageLayoutView="0" workbookViewId="0" topLeftCell="A1">
      <selection activeCell="E1" sqref="E1:J1"/>
    </sheetView>
  </sheetViews>
  <sheetFormatPr defaultColWidth="11.421875" defaultRowHeight="12.75"/>
  <cols>
    <col min="1" max="1" width="15.57421875" style="0" customWidth="1"/>
    <col min="6" max="6" width="15.28125" style="0" customWidth="1"/>
    <col min="8" max="8" width="17.28125" style="0" customWidth="1"/>
    <col min="10" max="10" width="14.140625" style="0" customWidth="1"/>
  </cols>
  <sheetData>
    <row r="1" spans="1:10" ht="21" thickBot="1">
      <c r="A1" s="1" t="s">
        <v>81</v>
      </c>
      <c r="B1" s="2" t="s">
        <v>104</v>
      </c>
      <c r="C1" s="3" t="s">
        <v>0</v>
      </c>
      <c r="E1" s="203" t="s">
        <v>126</v>
      </c>
      <c r="F1" s="203"/>
      <c r="G1" s="203"/>
      <c r="H1" s="203"/>
      <c r="I1" s="203"/>
      <c r="J1" s="203"/>
    </row>
    <row r="2" ht="13.5" thickBot="1"/>
    <row r="3" spans="1:14" ht="13.5" thickBot="1">
      <c r="A3" s="4" t="s">
        <v>141</v>
      </c>
      <c r="B3" s="5"/>
      <c r="C3" s="5"/>
      <c r="D3" s="5"/>
      <c r="E3" s="5"/>
      <c r="F3" s="6"/>
      <c r="H3" s="46" t="s">
        <v>85</v>
      </c>
      <c r="I3" s="5"/>
      <c r="J3" s="22" t="s">
        <v>86</v>
      </c>
      <c r="K3" s="5"/>
      <c r="L3" s="6"/>
      <c r="N3" s="58" t="s">
        <v>162</v>
      </c>
    </row>
    <row r="4" spans="1:16" ht="13.5" thickBot="1">
      <c r="A4" s="7"/>
      <c r="B4" s="8"/>
      <c r="C4" s="9" t="s">
        <v>112</v>
      </c>
      <c r="D4" s="10"/>
      <c r="E4" s="10" t="s">
        <v>146</v>
      </c>
      <c r="F4" s="11"/>
      <c r="H4" s="7" t="s">
        <v>89</v>
      </c>
      <c r="I4" s="47">
        <v>1</v>
      </c>
      <c r="J4" s="48">
        <f>I4^2*PI()</f>
        <v>3.141592653589793</v>
      </c>
      <c r="K4" s="8"/>
      <c r="L4" s="11"/>
      <c r="N4" s="8"/>
      <c r="O4" s="8"/>
      <c r="P4" s="8"/>
    </row>
    <row r="5" spans="1:16" ht="13.5" thickBot="1">
      <c r="A5" s="7"/>
      <c r="B5" s="8"/>
      <c r="C5" s="12">
        <v>233.86</v>
      </c>
      <c r="D5" s="10">
        <v>12</v>
      </c>
      <c r="E5" s="13">
        <f>C5/D5</f>
        <v>19.488333333333333</v>
      </c>
      <c r="F5" s="11"/>
      <c r="H5" s="49" t="s">
        <v>90</v>
      </c>
      <c r="I5" s="47">
        <v>2</v>
      </c>
      <c r="J5" s="50">
        <f>POWER((I5/2),2)*3.14159265358979</f>
        <v>3.14159265358979</v>
      </c>
      <c r="K5" s="8"/>
      <c r="L5" s="11"/>
      <c r="N5" s="200" t="s">
        <v>34</v>
      </c>
      <c r="O5" s="201"/>
      <c r="P5" s="172" t="s">
        <v>163</v>
      </c>
    </row>
    <row r="6" spans="1:16" ht="12.75">
      <c r="A6" s="7"/>
      <c r="B6" s="8"/>
      <c r="C6" s="10"/>
      <c r="D6" s="10"/>
      <c r="E6" s="10"/>
      <c r="F6" s="11"/>
      <c r="H6" s="7" t="s">
        <v>89</v>
      </c>
      <c r="I6" s="37">
        <v>1</v>
      </c>
      <c r="K6" s="48">
        <f>I6*2*3.14159265358979</f>
        <v>6.28318530717958</v>
      </c>
      <c r="L6" s="11" t="s">
        <v>130</v>
      </c>
      <c r="N6" s="52"/>
      <c r="O6" s="29" t="s">
        <v>164</v>
      </c>
      <c r="P6" s="6"/>
    </row>
    <row r="7" spans="1:12" ht="13.5" thickBot="1">
      <c r="A7" s="7"/>
      <c r="B7" s="8"/>
      <c r="C7" s="9" t="s">
        <v>147</v>
      </c>
      <c r="D7" s="10"/>
      <c r="E7" s="10" t="s">
        <v>112</v>
      </c>
      <c r="F7" s="11"/>
      <c r="H7" s="7" t="s">
        <v>90</v>
      </c>
      <c r="I7" s="37">
        <v>1</v>
      </c>
      <c r="K7" s="50">
        <f>I7*3.14159265358979</f>
        <v>3.14159265358979</v>
      </c>
      <c r="L7" s="11" t="s">
        <v>130</v>
      </c>
    </row>
    <row r="8" spans="1:17" ht="13.5" thickBot="1">
      <c r="A8" s="14"/>
      <c r="B8" s="15"/>
      <c r="C8" s="16">
        <v>37.32</v>
      </c>
      <c r="D8" s="17">
        <v>12</v>
      </c>
      <c r="E8" s="13">
        <f>C8*D8</f>
        <v>447.84000000000003</v>
      </c>
      <c r="F8" s="18"/>
      <c r="H8" s="7"/>
      <c r="I8" s="8"/>
      <c r="J8" s="10"/>
      <c r="K8" s="8"/>
      <c r="L8" s="11"/>
      <c r="N8" s="173" t="s">
        <v>34</v>
      </c>
      <c r="O8" s="174">
        <v>1</v>
      </c>
      <c r="P8" s="118">
        <f>O8/1.618033989</f>
        <v>0.6180339886543632</v>
      </c>
      <c r="Q8" t="s">
        <v>163</v>
      </c>
    </row>
    <row r="9" spans="3:17" ht="12.75">
      <c r="C9" s="19"/>
      <c r="D9" s="19"/>
      <c r="E9" s="19"/>
      <c r="F9" s="20"/>
      <c r="H9" s="56" t="s">
        <v>86</v>
      </c>
      <c r="I9" s="8"/>
      <c r="J9" s="47">
        <v>78.54</v>
      </c>
      <c r="K9" s="54">
        <f>SQRT(J9/PI())</f>
        <v>5.000005846084075</v>
      </c>
      <c r="L9" s="11" t="s">
        <v>89</v>
      </c>
      <c r="N9" s="173" t="s">
        <v>163</v>
      </c>
      <c r="O9" s="175">
        <v>1</v>
      </c>
      <c r="P9" s="158">
        <f>O9*1.618033989</f>
        <v>1.618033989</v>
      </c>
      <c r="Q9" t="s">
        <v>34</v>
      </c>
    </row>
    <row r="10" spans="8:17" ht="13.5" thickBot="1">
      <c r="H10" s="7"/>
      <c r="I10" s="8"/>
      <c r="J10" s="10"/>
      <c r="K10" s="55">
        <f>SQRT(J9/PI())*2</f>
        <v>10.00001169216815</v>
      </c>
      <c r="L10" s="57" t="s">
        <v>90</v>
      </c>
      <c r="N10" s="173" t="s">
        <v>164</v>
      </c>
      <c r="O10" s="176">
        <v>1</v>
      </c>
      <c r="P10" s="121">
        <f>O10/1.618033989</f>
        <v>0.6180339886543632</v>
      </c>
      <c r="Q10" t="s">
        <v>163</v>
      </c>
    </row>
    <row r="11" spans="1:17" ht="13.5" thickBot="1">
      <c r="A11" s="4" t="s">
        <v>142</v>
      </c>
      <c r="B11" s="5"/>
      <c r="C11" s="21" t="s">
        <v>148</v>
      </c>
      <c r="D11" s="22"/>
      <c r="E11" s="22" t="s">
        <v>149</v>
      </c>
      <c r="F11" s="6"/>
      <c r="H11" s="7"/>
      <c r="I11" s="8" t="s">
        <v>89</v>
      </c>
      <c r="J11" s="10" t="s">
        <v>2</v>
      </c>
      <c r="K11" s="8"/>
      <c r="L11" s="11"/>
      <c r="P11" s="83">
        <f>O10-P10</f>
        <v>0.3819660113456368</v>
      </c>
      <c r="Q11" t="s">
        <v>34</v>
      </c>
    </row>
    <row r="12" spans="1:12" ht="13.5" thickBot="1">
      <c r="A12" s="7"/>
      <c r="B12" s="8"/>
      <c r="C12" s="23">
        <v>25</v>
      </c>
      <c r="D12" s="24">
        <v>13.7603</v>
      </c>
      <c r="E12" s="13">
        <f>C12*D12</f>
        <v>344.00750000000005</v>
      </c>
      <c r="F12" s="11"/>
      <c r="H12" s="62" t="s">
        <v>116</v>
      </c>
      <c r="I12" s="37">
        <v>1</v>
      </c>
      <c r="J12" s="47">
        <v>90</v>
      </c>
      <c r="K12" s="63">
        <f>3.14159*I12/180*J12</f>
        <v>1.570795</v>
      </c>
      <c r="L12" s="11" t="s">
        <v>99</v>
      </c>
    </row>
    <row r="13" spans="1:12" ht="13.5" thickBot="1">
      <c r="A13" s="7"/>
      <c r="B13" s="8"/>
      <c r="C13" s="10"/>
      <c r="D13" s="10"/>
      <c r="E13" s="10"/>
      <c r="F13" s="11"/>
      <c r="H13" s="7"/>
      <c r="I13" s="10"/>
      <c r="J13" s="10"/>
      <c r="K13" s="8"/>
      <c r="L13" s="11"/>
    </row>
    <row r="14" spans="1:12" ht="13.5" thickBot="1">
      <c r="A14" s="7"/>
      <c r="B14" s="8"/>
      <c r="C14" s="9" t="s">
        <v>149</v>
      </c>
      <c r="D14" s="10"/>
      <c r="E14" s="10" t="s">
        <v>148</v>
      </c>
      <c r="F14" s="11"/>
      <c r="H14" s="72" t="s">
        <v>90</v>
      </c>
      <c r="I14" s="73">
        <v>2</v>
      </c>
      <c r="J14" s="74">
        <f>I14/2</f>
        <v>1</v>
      </c>
      <c r="K14" s="15" t="s">
        <v>89</v>
      </c>
      <c r="L14" s="18"/>
    </row>
    <row r="15" spans="1:6" ht="13.5" thickBot="1">
      <c r="A15" s="14"/>
      <c r="B15" s="15"/>
      <c r="C15" s="16">
        <v>5000</v>
      </c>
      <c r="D15" s="25">
        <v>13.7603</v>
      </c>
      <c r="E15" s="13">
        <f>C15/D15</f>
        <v>363.36417083929854</v>
      </c>
      <c r="F15" s="18"/>
    </row>
    <row r="17" ht="13.5" thickBot="1"/>
    <row r="18" spans="1:6" ht="12.75">
      <c r="A18" s="4" t="s">
        <v>143</v>
      </c>
      <c r="B18" s="5"/>
      <c r="C18" s="5"/>
      <c r="D18" s="5"/>
      <c r="E18" s="5"/>
      <c r="F18" s="6"/>
    </row>
    <row r="19" spans="1:10" ht="13.5" thickBot="1">
      <c r="A19" s="7"/>
      <c r="B19" s="8"/>
      <c r="C19" s="9" t="s">
        <v>144</v>
      </c>
      <c r="D19" s="10" t="s">
        <v>145</v>
      </c>
      <c r="E19" s="8"/>
      <c r="F19" s="11"/>
      <c r="H19" s="58" t="s">
        <v>84</v>
      </c>
      <c r="I19" s="51"/>
      <c r="J19" s="51"/>
    </row>
    <row r="20" spans="1:15" ht="13.5" thickBot="1">
      <c r="A20" s="7"/>
      <c r="B20" s="8"/>
      <c r="C20" s="26">
        <v>60</v>
      </c>
      <c r="D20" s="27">
        <f>C20*0.735499</f>
        <v>44.12994</v>
      </c>
      <c r="E20" s="8"/>
      <c r="F20" s="11"/>
      <c r="H20" s="59" t="s">
        <v>20</v>
      </c>
      <c r="I20" s="53">
        <v>4</v>
      </c>
      <c r="J20" s="60">
        <f>((I20*9)/5)+32</f>
        <v>39.2</v>
      </c>
      <c r="K20" s="61" t="s">
        <v>88</v>
      </c>
      <c r="N20" s="85" t="s">
        <v>47</v>
      </c>
      <c r="O20" s="85"/>
    </row>
    <row r="21" spans="1:16" ht="13.5" thickBot="1">
      <c r="A21" s="28"/>
      <c r="B21" s="8"/>
      <c r="C21" s="10"/>
      <c r="D21" s="10"/>
      <c r="E21" s="8"/>
      <c r="F21" s="11"/>
      <c r="H21" s="64" t="s">
        <v>18</v>
      </c>
      <c r="I21" s="65">
        <v>90</v>
      </c>
      <c r="J21" s="66">
        <f>(I21-32)*5/9</f>
        <v>32.22222222222222</v>
      </c>
      <c r="K21" s="67" t="s">
        <v>87</v>
      </c>
      <c r="N21" s="52"/>
      <c r="O21" s="22" t="s">
        <v>78</v>
      </c>
      <c r="P21" s="86" t="s">
        <v>124</v>
      </c>
    </row>
    <row r="22" spans="1:16" ht="12.75">
      <c r="A22" s="28"/>
      <c r="B22" s="8"/>
      <c r="C22" s="10"/>
      <c r="D22" s="10"/>
      <c r="E22" s="8"/>
      <c r="F22" s="11"/>
      <c r="H22" s="68" t="s">
        <v>87</v>
      </c>
      <c r="I22" s="69">
        <v>100</v>
      </c>
      <c r="J22" s="70">
        <f>I22+273.15</f>
        <v>373.15</v>
      </c>
      <c r="K22" s="71" t="s">
        <v>49</v>
      </c>
      <c r="N22" s="7" t="s">
        <v>44</v>
      </c>
      <c r="O22" s="47">
        <v>30</v>
      </c>
      <c r="P22" s="87">
        <f>ROUND(SIN(O22*PI()/180),10)</f>
        <v>0.5</v>
      </c>
    </row>
    <row r="23" spans="1:16" ht="13.5" thickBot="1">
      <c r="A23" s="7"/>
      <c r="B23" s="8"/>
      <c r="C23" s="9" t="s">
        <v>145</v>
      </c>
      <c r="D23" s="10" t="s">
        <v>144</v>
      </c>
      <c r="E23" s="8"/>
      <c r="F23" s="11"/>
      <c r="H23" s="75" t="s">
        <v>19</v>
      </c>
      <c r="I23" s="76">
        <v>273.15</v>
      </c>
      <c r="J23" s="77">
        <f>I23-273.15</f>
        <v>0</v>
      </c>
      <c r="K23" s="78" t="s">
        <v>87</v>
      </c>
      <c r="N23" s="7" t="s">
        <v>45</v>
      </c>
      <c r="O23" s="47">
        <v>60</v>
      </c>
      <c r="P23" s="91">
        <f>ROUND(COS(O23*PI()/180),10)</f>
        <v>0.5</v>
      </c>
    </row>
    <row r="24" spans="1:16" ht="13.5" thickBot="1">
      <c r="A24" s="14"/>
      <c r="B24" s="15"/>
      <c r="C24" s="31">
        <v>74</v>
      </c>
      <c r="D24" s="27">
        <f>C24*1.35962</f>
        <v>100.61188</v>
      </c>
      <c r="E24" s="15"/>
      <c r="F24" s="18"/>
      <c r="H24" s="62" t="s">
        <v>87</v>
      </c>
      <c r="I24" s="79">
        <v>100</v>
      </c>
      <c r="J24" s="80">
        <f>I24*0.8</f>
        <v>80</v>
      </c>
      <c r="K24" s="42" t="s">
        <v>136</v>
      </c>
      <c r="N24" s="7" t="s">
        <v>46</v>
      </c>
      <c r="O24" s="47">
        <v>45</v>
      </c>
      <c r="P24" s="95">
        <f>TAN(RADIANS(O24))</f>
        <v>0.9999999999999999</v>
      </c>
    </row>
    <row r="25" spans="8:16" ht="13.5" thickBot="1">
      <c r="H25" s="81" t="s">
        <v>137</v>
      </c>
      <c r="I25" s="82">
        <v>80</v>
      </c>
      <c r="J25" s="83">
        <f>I25*1.25</f>
        <v>100</v>
      </c>
      <c r="K25" s="84" t="s">
        <v>87</v>
      </c>
      <c r="N25" s="7"/>
      <c r="O25" s="8"/>
      <c r="P25" s="11"/>
    </row>
    <row r="26" spans="14:16" ht="13.5" thickBot="1">
      <c r="N26" s="7"/>
      <c r="O26" s="10" t="s">
        <v>124</v>
      </c>
      <c r="P26" s="32" t="s">
        <v>78</v>
      </c>
    </row>
    <row r="27" spans="1:16" ht="12.75">
      <c r="A27" s="4" t="s">
        <v>128</v>
      </c>
      <c r="B27" s="5"/>
      <c r="C27" s="5"/>
      <c r="D27" s="5"/>
      <c r="E27" s="5"/>
      <c r="F27" s="6"/>
      <c r="N27" s="7" t="s">
        <v>44</v>
      </c>
      <c r="O27" s="97">
        <v>0.5</v>
      </c>
      <c r="P27" s="48">
        <f>(DEGREES(ASIN(O27)))</f>
        <v>30.000000000000004</v>
      </c>
    </row>
    <row r="28" spans="1:16" ht="13.5" thickBot="1">
      <c r="A28" s="7"/>
      <c r="B28" s="8"/>
      <c r="C28" s="9" t="s">
        <v>129</v>
      </c>
      <c r="D28" s="10" t="s">
        <v>21</v>
      </c>
      <c r="E28" s="10"/>
      <c r="F28" s="32" t="s">
        <v>22</v>
      </c>
      <c r="N28" s="7" t="s">
        <v>45</v>
      </c>
      <c r="O28" s="97">
        <v>0.5</v>
      </c>
      <c r="P28" s="98">
        <f>(DEGREES(ACOS(O28)))</f>
        <v>59.99999999999999</v>
      </c>
    </row>
    <row r="29" spans="1:16" ht="13.5" thickBot="1">
      <c r="A29" s="7"/>
      <c r="B29" s="8"/>
      <c r="C29" s="33">
        <v>60</v>
      </c>
      <c r="D29" s="13">
        <f>C29*1.2</f>
        <v>72</v>
      </c>
      <c r="E29" s="24"/>
      <c r="F29" s="34">
        <f>D29-C29</f>
        <v>12</v>
      </c>
      <c r="N29" s="14" t="s">
        <v>46</v>
      </c>
      <c r="O29" s="99">
        <v>1</v>
      </c>
      <c r="P29" s="50">
        <f>(DEGREES(ATAN(O29)))</f>
        <v>45</v>
      </c>
    </row>
    <row r="30" spans="1:9" ht="13.5" thickBot="1">
      <c r="A30" s="7"/>
      <c r="B30" s="8"/>
      <c r="C30" s="10"/>
      <c r="D30" s="10"/>
      <c r="E30" s="10"/>
      <c r="F30" s="32"/>
      <c r="H30" s="58" t="s">
        <v>120</v>
      </c>
      <c r="I30" s="58" t="s">
        <v>121</v>
      </c>
    </row>
    <row r="31" spans="1:11" ht="13.5" thickBot="1">
      <c r="A31" s="7"/>
      <c r="B31" s="8"/>
      <c r="C31" s="9" t="s">
        <v>21</v>
      </c>
      <c r="D31" s="10" t="s">
        <v>129</v>
      </c>
      <c r="E31" s="10"/>
      <c r="F31" s="32" t="s">
        <v>22</v>
      </c>
      <c r="H31" s="171">
        <v>0.2</v>
      </c>
      <c r="I31" s="90" t="str">
        <f>IF(ROUND(MOD(H31,2.54)/2.54*32,0)=0,TEXT(INT(H31/2.54),"0"),TEXT(H31/2.54,"# ?/"&amp;INDEX({32;16;32;8;32;16;32;4;32;16;32;8;32;16;32;2;32;16;32;8;32;16;32;4;32;16;32;8;32;16;32},MOD(ROUND(H31/2.54*32,0),32))))&amp;CHAR(34)</f>
        <v> 3/32"</v>
      </c>
      <c r="J31" s="204" t="s">
        <v>122</v>
      </c>
      <c r="K31" s="205"/>
    </row>
    <row r="32" spans="1:11" ht="13.5" thickBot="1">
      <c r="A32" s="14"/>
      <c r="B32" s="15"/>
      <c r="C32" s="35">
        <v>24</v>
      </c>
      <c r="D32" s="13">
        <f>C32/1.2</f>
        <v>20</v>
      </c>
      <c r="E32" s="25"/>
      <c r="F32" s="36">
        <f>C32-D32</f>
        <v>4</v>
      </c>
      <c r="H32" s="7"/>
      <c r="I32" s="10"/>
      <c r="J32" s="8"/>
      <c r="K32" s="11"/>
    </row>
    <row r="33" spans="8:11" ht="13.5" thickBot="1">
      <c r="H33" s="7"/>
      <c r="I33" s="10"/>
      <c r="J33" s="8"/>
      <c r="K33" s="11"/>
    </row>
    <row r="34" spans="8:11" ht="13.5" thickBot="1">
      <c r="H34" s="96">
        <v>138</v>
      </c>
      <c r="I34" s="90" t="str">
        <f>IF(ROUND(MOD(H34,2.54)/2.54*16,0)=0,TEXT(INT(H34/2.54),"0"),TEXT(H34/2.54,"# ?/"&amp;INDEX({16;8;16;4;16;8;16;2;16;8;16;4;16;8;16},MOD(ROUND(H34/2.54*16,0),16))))&amp;CHAR(34)</f>
        <v>54 5/16"</v>
      </c>
      <c r="J34" s="206" t="s">
        <v>123</v>
      </c>
      <c r="K34" s="207"/>
    </row>
    <row r="35" spans="1:6" ht="13.5" thickBot="1">
      <c r="A35" s="4" t="s">
        <v>28</v>
      </c>
      <c r="B35" s="5" t="s">
        <v>26</v>
      </c>
      <c r="C35" s="5" t="s">
        <v>129</v>
      </c>
      <c r="D35" s="5" t="s">
        <v>21</v>
      </c>
      <c r="E35" s="5"/>
      <c r="F35" s="6" t="s">
        <v>27</v>
      </c>
    </row>
    <row r="36" spans="1:6" ht="13.5" thickBot="1">
      <c r="A36" s="7"/>
      <c r="B36" s="37">
        <v>1.2</v>
      </c>
      <c r="C36" s="38">
        <v>500000</v>
      </c>
      <c r="D36" s="39">
        <f>$C$36+$F$36</f>
        <v>506000</v>
      </c>
      <c r="E36" s="8"/>
      <c r="F36" s="40">
        <f>$C$36*$B$36/100</f>
        <v>6000</v>
      </c>
    </row>
    <row r="37" spans="1:6" ht="12.75">
      <c r="A37" s="7"/>
      <c r="B37" s="8"/>
      <c r="C37" s="8"/>
      <c r="D37" s="8"/>
      <c r="E37" s="8"/>
      <c r="F37" s="11"/>
    </row>
    <row r="38" spans="1:10" ht="13.5" thickBot="1">
      <c r="A38" s="41" t="s">
        <v>110</v>
      </c>
      <c r="B38" s="8" t="s">
        <v>26</v>
      </c>
      <c r="C38" s="8" t="s">
        <v>21</v>
      </c>
      <c r="D38" s="8" t="s">
        <v>129</v>
      </c>
      <c r="E38" s="8"/>
      <c r="F38" s="42" t="s">
        <v>27</v>
      </c>
      <c r="H38" s="58" t="s">
        <v>95</v>
      </c>
      <c r="J38" t="s">
        <v>86</v>
      </c>
    </row>
    <row r="39" spans="1:12" ht="13.5" thickBot="1">
      <c r="A39" s="14"/>
      <c r="B39" s="43">
        <v>35</v>
      </c>
      <c r="C39" s="44">
        <v>772.08</v>
      </c>
      <c r="D39" s="3">
        <f>$C$39*(100-$B$39)/100</f>
        <v>501.85200000000003</v>
      </c>
      <c r="E39" s="15"/>
      <c r="F39" s="45">
        <f>$C$39-$D$39</f>
        <v>270.228</v>
      </c>
      <c r="H39" s="52" t="s">
        <v>96</v>
      </c>
      <c r="I39" s="103">
        <v>1</v>
      </c>
      <c r="J39" s="63">
        <f>POWER(I39,2)</f>
        <v>1</v>
      </c>
      <c r="K39" s="5"/>
      <c r="L39" s="6"/>
    </row>
    <row r="40" spans="8:12" ht="13.5" thickBot="1">
      <c r="H40" s="14"/>
      <c r="I40" s="107"/>
      <c r="J40" s="108">
        <v>99</v>
      </c>
      <c r="K40" s="63">
        <f>SQRT(J40)</f>
        <v>9.9498743710662</v>
      </c>
      <c r="L40" s="18" t="s">
        <v>96</v>
      </c>
    </row>
    <row r="41" ht="13.5" thickBot="1">
      <c r="I41" s="19"/>
    </row>
    <row r="42" spans="1:9" ht="13.5" thickBot="1">
      <c r="A42" s="1" t="s">
        <v>81</v>
      </c>
      <c r="B42" s="2" t="s">
        <v>104</v>
      </c>
      <c r="C42" s="3" t="s">
        <v>0</v>
      </c>
      <c r="H42" s="58" t="s">
        <v>98</v>
      </c>
      <c r="I42" s="19"/>
    </row>
    <row r="43" spans="8:16" ht="13.5" thickBot="1">
      <c r="H43" s="59" t="s">
        <v>99</v>
      </c>
      <c r="I43" s="110">
        <v>20</v>
      </c>
      <c r="J43" s="6"/>
      <c r="L43" s="52" t="s">
        <v>95</v>
      </c>
      <c r="M43" s="103">
        <v>25</v>
      </c>
      <c r="N43" s="74">
        <f>M43*M43</f>
        <v>625</v>
      </c>
      <c r="O43" s="5"/>
      <c r="P43" s="6"/>
    </row>
    <row r="44" spans="8:16" ht="13.5" thickBot="1">
      <c r="H44" s="101" t="s">
        <v>101</v>
      </c>
      <c r="I44" s="73">
        <v>2</v>
      </c>
      <c r="J44" s="63">
        <f>I43*I44</f>
        <v>40</v>
      </c>
      <c r="L44" s="7" t="s">
        <v>105</v>
      </c>
      <c r="M44" s="47">
        <v>2</v>
      </c>
      <c r="N44" s="74">
        <f>M44*M44*M44</f>
        <v>8</v>
      </c>
      <c r="O44" s="8"/>
      <c r="P44" s="11"/>
    </row>
    <row r="45" spans="1:16" ht="13.5" thickBot="1">
      <c r="A45" s="52" t="s">
        <v>82</v>
      </c>
      <c r="B45" s="53">
        <v>2664</v>
      </c>
      <c r="C45" s="54">
        <f>B45/13.7603</f>
        <v>193.60043022317825</v>
      </c>
      <c r="D45" s="6" t="s">
        <v>83</v>
      </c>
      <c r="I45" s="19"/>
      <c r="L45" s="7"/>
      <c r="M45" s="10" t="s">
        <v>107</v>
      </c>
      <c r="N45" s="10" t="s">
        <v>108</v>
      </c>
      <c r="O45" s="8"/>
      <c r="P45" s="11"/>
    </row>
    <row r="46" spans="1:16" ht="13.5" thickBot="1">
      <c r="A46" s="14" t="s">
        <v>83</v>
      </c>
      <c r="B46" s="44">
        <v>4000</v>
      </c>
      <c r="C46" s="55">
        <f>B46*13.7603</f>
        <v>55041.200000000004</v>
      </c>
      <c r="D46" s="18" t="s">
        <v>82</v>
      </c>
      <c r="H46" s="58" t="s">
        <v>103</v>
      </c>
      <c r="I46" s="19"/>
      <c r="L46" s="7" t="s">
        <v>109</v>
      </c>
      <c r="M46" s="37">
        <v>9</v>
      </c>
      <c r="N46" s="47">
        <v>2</v>
      </c>
      <c r="O46" s="112">
        <f>M46^(1/N46)</f>
        <v>3</v>
      </c>
      <c r="P46" s="11"/>
    </row>
    <row r="47" spans="2:16" ht="13.5" thickBot="1">
      <c r="B47" s="51"/>
      <c r="C47" s="51"/>
      <c r="H47" s="59" t="s">
        <v>159</v>
      </c>
      <c r="I47" s="110">
        <v>1</v>
      </c>
      <c r="J47" s="6"/>
      <c r="L47" s="7" t="s">
        <v>111</v>
      </c>
      <c r="M47" s="37">
        <v>2</v>
      </c>
      <c r="N47" s="47">
        <v>5</v>
      </c>
      <c r="O47" s="113">
        <f>M47^N47</f>
        <v>32</v>
      </c>
      <c r="P47" s="11"/>
    </row>
    <row r="48" spans="2:16" ht="13.5" thickBot="1">
      <c r="B48" s="51"/>
      <c r="C48" s="51"/>
      <c r="H48" s="104" t="s">
        <v>160</v>
      </c>
      <c r="I48" s="37">
        <v>1</v>
      </c>
      <c r="J48" s="11"/>
      <c r="L48" s="7"/>
      <c r="M48" s="8"/>
      <c r="N48" s="8"/>
      <c r="O48" s="8"/>
      <c r="P48" s="11"/>
    </row>
    <row r="49" spans="1:16" ht="13.5" thickBot="1">
      <c r="A49" s="58" t="s">
        <v>84</v>
      </c>
      <c r="B49" s="51"/>
      <c r="C49" s="51"/>
      <c r="H49" s="101" t="s">
        <v>50</v>
      </c>
      <c r="I49" s="73">
        <v>1</v>
      </c>
      <c r="J49" s="63">
        <f>(I47+I48)/2*I49</f>
        <v>1</v>
      </c>
      <c r="L49" s="14" t="s">
        <v>106</v>
      </c>
      <c r="M49" s="43">
        <v>1949</v>
      </c>
      <c r="N49" s="17" t="str">
        <f>ROMAN(M49,4)</f>
        <v>MCMIL</v>
      </c>
      <c r="O49" s="15"/>
      <c r="P49" s="18"/>
    </row>
    <row r="50" spans="1:4" ht="12.75">
      <c r="A50" s="59" t="s">
        <v>20</v>
      </c>
      <c r="B50" s="53">
        <v>4</v>
      </c>
      <c r="C50" s="60">
        <f>((B50*9)/5)+32</f>
        <v>39.2</v>
      </c>
      <c r="D50" s="61" t="s">
        <v>88</v>
      </c>
    </row>
    <row r="51" spans="1:4" ht="12.75">
      <c r="A51" s="64" t="s">
        <v>18</v>
      </c>
      <c r="B51" s="65">
        <v>90</v>
      </c>
      <c r="C51" s="66">
        <f>(B51-32)*5/9</f>
        <v>32.22222222222222</v>
      </c>
      <c r="D51" s="67" t="s">
        <v>87</v>
      </c>
    </row>
    <row r="52" spans="1:4" ht="12.75">
      <c r="A52" s="68" t="s">
        <v>87</v>
      </c>
      <c r="B52" s="69">
        <v>100</v>
      </c>
      <c r="C52" s="70">
        <f>B52+273.15</f>
        <v>373.15</v>
      </c>
      <c r="D52" s="71" t="s">
        <v>49</v>
      </c>
    </row>
    <row r="53" spans="1:4" ht="12.75">
      <c r="A53" s="75" t="s">
        <v>19</v>
      </c>
      <c r="B53" s="76">
        <v>273.15</v>
      </c>
      <c r="C53" s="77">
        <f>B53-273.15</f>
        <v>0</v>
      </c>
      <c r="D53" s="78" t="s">
        <v>87</v>
      </c>
    </row>
    <row r="54" spans="1:9" ht="13.5" thickBot="1">
      <c r="A54" s="62" t="s">
        <v>87</v>
      </c>
      <c r="B54" s="79">
        <v>100</v>
      </c>
      <c r="C54" s="80">
        <f>B54*0.8</f>
        <v>80</v>
      </c>
      <c r="D54" s="42" t="s">
        <v>136</v>
      </c>
      <c r="H54" s="85" t="s">
        <v>47</v>
      </c>
      <c r="I54" s="85"/>
    </row>
    <row r="55" spans="1:10" ht="13.5" thickBot="1">
      <c r="A55" s="81" t="s">
        <v>137</v>
      </c>
      <c r="B55" s="82">
        <v>80</v>
      </c>
      <c r="C55" s="83">
        <f>B55*1.25</f>
        <v>100</v>
      </c>
      <c r="D55" s="84" t="s">
        <v>87</v>
      </c>
      <c r="H55" s="52"/>
      <c r="I55" s="22" t="s">
        <v>78</v>
      </c>
      <c r="J55" s="86" t="s">
        <v>124</v>
      </c>
    </row>
    <row r="56" spans="8:10" ht="12.75">
      <c r="H56" s="7" t="s">
        <v>44</v>
      </c>
      <c r="I56" s="47">
        <v>30</v>
      </c>
      <c r="J56" s="87">
        <f>ROUND(SIN(I56*PI()/180),10)</f>
        <v>0.5</v>
      </c>
    </row>
    <row r="57" spans="1:10" ht="13.5" thickBot="1">
      <c r="A57" s="58" t="s">
        <v>91</v>
      </c>
      <c r="C57" s="51"/>
      <c r="H57" s="7" t="s">
        <v>45</v>
      </c>
      <c r="I57" s="47">
        <v>60</v>
      </c>
      <c r="J57" s="91">
        <f>ROUND(COS(I57*PI()/180),10)</f>
        <v>0.5</v>
      </c>
    </row>
    <row r="58" spans="1:10" ht="13.5" thickBot="1">
      <c r="A58" s="88" t="s">
        <v>92</v>
      </c>
      <c r="B58" s="89">
        <v>20</v>
      </c>
      <c r="C58" s="60">
        <f>B58*0.03937</f>
        <v>0.7874000000000001</v>
      </c>
      <c r="D58" s="61" t="s">
        <v>93</v>
      </c>
      <c r="H58" s="7" t="s">
        <v>46</v>
      </c>
      <c r="I58" s="47">
        <v>45</v>
      </c>
      <c r="J58" s="95">
        <f>TAN(RADIANS(I58))</f>
        <v>0.9999999999999999</v>
      </c>
    </row>
    <row r="59" spans="1:10" ht="13.5" thickBot="1">
      <c r="A59" s="92" t="s">
        <v>93</v>
      </c>
      <c r="B59" s="82">
        <v>1</v>
      </c>
      <c r="C59" s="93">
        <f>B59/0.3937</f>
        <v>2.54000508001016</v>
      </c>
      <c r="D59" s="94" t="s">
        <v>92</v>
      </c>
      <c r="H59" s="7"/>
      <c r="I59" s="8"/>
      <c r="J59" s="11"/>
    </row>
    <row r="60" spans="3:10" ht="13.5" thickBot="1">
      <c r="C60" s="51"/>
      <c r="H60" s="7"/>
      <c r="I60" s="10" t="s">
        <v>124</v>
      </c>
      <c r="J60" s="32" t="s">
        <v>78</v>
      </c>
    </row>
    <row r="61" spans="3:10" ht="13.5" thickBot="1">
      <c r="C61" s="51"/>
      <c r="H61" s="7" t="s">
        <v>44</v>
      </c>
      <c r="I61" s="97">
        <v>0.5</v>
      </c>
      <c r="J61" s="48">
        <f>(DEGREES(ASIN(I61)))</f>
        <v>30.000000000000004</v>
      </c>
    </row>
    <row r="62" spans="1:10" ht="12.75">
      <c r="A62" s="88" t="s">
        <v>94</v>
      </c>
      <c r="B62" s="53">
        <v>1</v>
      </c>
      <c r="C62" s="60">
        <f>B62*39.37</f>
        <v>39.37</v>
      </c>
      <c r="D62" s="61" t="s">
        <v>93</v>
      </c>
      <c r="H62" s="7" t="s">
        <v>45</v>
      </c>
      <c r="I62" s="97">
        <v>0.5</v>
      </c>
      <c r="J62" s="98">
        <f>(DEGREES(ACOS(I62)))</f>
        <v>59.99999999999999</v>
      </c>
    </row>
    <row r="63" spans="1:15" ht="16.5" thickBot="1">
      <c r="A63" s="92" t="s">
        <v>93</v>
      </c>
      <c r="B63" s="44">
        <v>1</v>
      </c>
      <c r="C63" s="93">
        <f>B63/39.37</f>
        <v>0.025400050800101603</v>
      </c>
      <c r="D63" s="94" t="s">
        <v>94</v>
      </c>
      <c r="H63" s="14" t="s">
        <v>46</v>
      </c>
      <c r="I63" s="99">
        <v>1</v>
      </c>
      <c r="J63" s="50">
        <f>(DEGREES(ATAN(I63)))</f>
        <v>45</v>
      </c>
      <c r="L63" s="100" t="s">
        <v>3</v>
      </c>
      <c r="M63" s="202">
        <v>3.14159265358979</v>
      </c>
      <c r="N63" s="202"/>
      <c r="O63" s="202"/>
    </row>
    <row r="64" spans="2:3" ht="13.5" thickBot="1">
      <c r="B64" s="51"/>
      <c r="C64" s="51"/>
    </row>
    <row r="65" spans="1:4" ht="12.75">
      <c r="A65" s="59" t="s">
        <v>94</v>
      </c>
      <c r="B65" s="53">
        <v>1</v>
      </c>
      <c r="C65" s="60">
        <f>B65/0.9144</f>
        <v>1.0936132983377078</v>
      </c>
      <c r="D65" s="61" t="s">
        <v>97</v>
      </c>
    </row>
    <row r="66" spans="1:4" ht="13.5" thickBot="1">
      <c r="A66" s="101" t="s">
        <v>97</v>
      </c>
      <c r="B66" s="44">
        <v>1</v>
      </c>
      <c r="C66" s="93">
        <f>B66*0.9144</f>
        <v>0.9144</v>
      </c>
      <c r="D66" s="94" t="s">
        <v>94</v>
      </c>
    </row>
    <row r="67" spans="3:6" ht="13.5" thickBot="1">
      <c r="C67" s="51"/>
      <c r="F67" s="115" t="s">
        <v>58</v>
      </c>
    </row>
    <row r="68" spans="1:12" ht="13.5" thickBot="1">
      <c r="A68" s="59" t="s">
        <v>94</v>
      </c>
      <c r="B68" s="102">
        <v>10000</v>
      </c>
      <c r="C68" s="60">
        <f>B68*3.28083</f>
        <v>32808.299999999996</v>
      </c>
      <c r="D68" s="61" t="s">
        <v>100</v>
      </c>
      <c r="F68" s="4"/>
      <c r="G68" s="22" t="s">
        <v>56</v>
      </c>
      <c r="H68" s="22" t="s">
        <v>57</v>
      </c>
      <c r="I68" s="86" t="s">
        <v>30</v>
      </c>
      <c r="L68" s="115" t="s">
        <v>117</v>
      </c>
    </row>
    <row r="69" spans="1:15" ht="13.5" thickBot="1">
      <c r="A69" s="104" t="s">
        <v>102</v>
      </c>
      <c r="B69" s="105">
        <v>1</v>
      </c>
      <c r="C69" s="93">
        <f>B69/3.28083</f>
        <v>0.30480091927957254</v>
      </c>
      <c r="D69" s="106" t="s">
        <v>94</v>
      </c>
      <c r="F69" s="119"/>
      <c r="G69" s="120">
        <v>1</v>
      </c>
      <c r="H69" s="74">
        <f>G69*63280</f>
        <v>63280</v>
      </c>
      <c r="I69" s="74">
        <f>G69*9463000000000</f>
        <v>9463000000000</v>
      </c>
      <c r="L69" s="52" t="s">
        <v>118</v>
      </c>
      <c r="M69" s="116">
        <v>107230.728</v>
      </c>
      <c r="N69" s="117">
        <f>M69/3.6</f>
        <v>29786.31333333333</v>
      </c>
      <c r="O69" s="6" t="s">
        <v>119</v>
      </c>
    </row>
    <row r="70" spans="1:15" ht="13.5" thickBot="1">
      <c r="A70" s="14"/>
      <c r="B70" s="15"/>
      <c r="C70" s="30"/>
      <c r="D70" s="18"/>
      <c r="F70" s="7"/>
      <c r="G70" s="10" t="s">
        <v>125</v>
      </c>
      <c r="H70" s="8" t="s">
        <v>56</v>
      </c>
      <c r="I70" s="11"/>
      <c r="L70" s="7" t="s">
        <v>119</v>
      </c>
      <c r="M70" s="79">
        <v>14</v>
      </c>
      <c r="N70" s="55">
        <f>M70*3.6</f>
        <v>50.4</v>
      </c>
      <c r="O70" s="11" t="s">
        <v>118</v>
      </c>
    </row>
    <row r="71" spans="6:15" ht="13.5" thickBot="1">
      <c r="F71" s="119"/>
      <c r="G71" s="120">
        <v>1</v>
      </c>
      <c r="H71" s="63">
        <f>G71*206264.806</f>
        <v>206264.806</v>
      </c>
      <c r="I71" s="121"/>
      <c r="L71" s="7"/>
      <c r="M71" s="8"/>
      <c r="N71" s="8"/>
      <c r="O71" s="11"/>
    </row>
    <row r="72" spans="1:15" ht="13.5" thickBot="1">
      <c r="A72" s="109" t="s">
        <v>30</v>
      </c>
      <c r="B72" s="102">
        <v>1</v>
      </c>
      <c r="C72" s="54">
        <f>B72/1.60934</f>
        <v>0.6213727366498067</v>
      </c>
      <c r="D72" s="61" t="s">
        <v>53</v>
      </c>
      <c r="F72" s="7"/>
      <c r="G72" s="10" t="s">
        <v>56</v>
      </c>
      <c r="H72" s="8" t="s">
        <v>125</v>
      </c>
      <c r="I72" s="11"/>
      <c r="L72" s="7" t="s">
        <v>118</v>
      </c>
      <c r="M72" s="105">
        <v>1</v>
      </c>
      <c r="N72" s="54">
        <f>M72/1.60934</f>
        <v>0.6213727366498067</v>
      </c>
      <c r="O72" s="11" t="s">
        <v>48</v>
      </c>
    </row>
    <row r="73" spans="1:15" ht="13.5" thickBot="1">
      <c r="A73" s="111" t="s">
        <v>31</v>
      </c>
      <c r="B73" s="105">
        <v>1</v>
      </c>
      <c r="C73" s="80">
        <f>B73*1.60934</f>
        <v>1.60934</v>
      </c>
      <c r="D73" s="106" t="s">
        <v>30</v>
      </c>
      <c r="F73" s="14"/>
      <c r="G73" s="123">
        <v>206264</v>
      </c>
      <c r="H73" s="63">
        <f>G73/206164.806</f>
        <v>1.0004811393463537</v>
      </c>
      <c r="I73" s="18"/>
      <c r="L73" s="7" t="s">
        <v>48</v>
      </c>
      <c r="M73" s="105">
        <v>1</v>
      </c>
      <c r="N73" s="55">
        <f>M73*1.60934</f>
        <v>1.60934</v>
      </c>
      <c r="O73" s="11" t="s">
        <v>118</v>
      </c>
    </row>
    <row r="74" spans="1:15" ht="13.5" thickBot="1">
      <c r="A74" s="62" t="s">
        <v>30</v>
      </c>
      <c r="B74" s="2">
        <v>1</v>
      </c>
      <c r="C74" s="80">
        <f>B74/1.852</f>
        <v>0.5399568034557235</v>
      </c>
      <c r="D74" s="42" t="s">
        <v>54</v>
      </c>
      <c r="L74" s="7"/>
      <c r="M74" s="8"/>
      <c r="N74" s="122"/>
      <c r="O74" s="11"/>
    </row>
    <row r="75" spans="1:15" ht="12.75">
      <c r="A75" s="62" t="s">
        <v>51</v>
      </c>
      <c r="B75" s="2">
        <v>1</v>
      </c>
      <c r="C75" s="80">
        <f>B75*1.852</f>
        <v>1.852</v>
      </c>
      <c r="D75" s="42" t="s">
        <v>30</v>
      </c>
      <c r="L75" s="7" t="s">
        <v>118</v>
      </c>
      <c r="M75" s="105">
        <v>1</v>
      </c>
      <c r="N75" s="54">
        <f>M75/1.852</f>
        <v>0.5399568034557235</v>
      </c>
      <c r="O75" s="11" t="s">
        <v>42</v>
      </c>
    </row>
    <row r="76" spans="1:15" ht="13.5" thickBot="1">
      <c r="A76" s="62" t="s">
        <v>30</v>
      </c>
      <c r="B76" s="2">
        <v>1</v>
      </c>
      <c r="C76" s="80">
        <f>B76/7.42</f>
        <v>0.1347708894878706</v>
      </c>
      <c r="D76" s="42" t="s">
        <v>55</v>
      </c>
      <c r="L76" s="14" t="s">
        <v>42</v>
      </c>
      <c r="M76" s="82">
        <v>1</v>
      </c>
      <c r="N76" s="55">
        <f>M76*1.852</f>
        <v>1.852</v>
      </c>
      <c r="O76" s="18" t="s">
        <v>118</v>
      </c>
    </row>
    <row r="77" spans="1:4" ht="13.5" thickBot="1">
      <c r="A77" s="14" t="s">
        <v>52</v>
      </c>
      <c r="B77" s="114">
        <v>1</v>
      </c>
      <c r="C77" s="55">
        <f>B77*7.42</f>
        <v>7.42</v>
      </c>
      <c r="D77" s="18" t="s">
        <v>30</v>
      </c>
    </row>
    <row r="79" ht="13.5" thickBot="1"/>
    <row r="80" spans="1:11" ht="13.5" thickBot="1">
      <c r="A80" s="1" t="s">
        <v>81</v>
      </c>
      <c r="B80" s="2" t="s">
        <v>104</v>
      </c>
      <c r="C80" s="3" t="s">
        <v>0</v>
      </c>
      <c r="F80" s="115" t="s">
        <v>73</v>
      </c>
      <c r="K80" s="19" t="s">
        <v>138</v>
      </c>
    </row>
    <row r="81" spans="6:11" ht="13.5" thickBot="1">
      <c r="F81" s="52"/>
      <c r="G81" s="21" t="s">
        <v>74</v>
      </c>
      <c r="H81" s="22" t="s">
        <v>75</v>
      </c>
      <c r="I81" s="22" t="s">
        <v>76</v>
      </c>
      <c r="J81" s="6" t="s">
        <v>140</v>
      </c>
      <c r="K81" s="125" t="s">
        <v>78</v>
      </c>
    </row>
    <row r="82" spans="6:11" ht="13.5" thickBot="1">
      <c r="F82" s="7" t="s">
        <v>77</v>
      </c>
      <c r="G82" s="126">
        <v>6</v>
      </c>
      <c r="H82" s="126">
        <v>47</v>
      </c>
      <c r="I82" s="127">
        <v>24</v>
      </c>
      <c r="J82" s="128">
        <f>$G$82+($H$82/60)+(($I$82/60)/60)</f>
        <v>6.79</v>
      </c>
      <c r="K82" s="129">
        <f>J82*15.0411</f>
        <v>102.129069</v>
      </c>
    </row>
    <row r="83" spans="1:11" ht="13.5" thickBot="1">
      <c r="A83" s="115" t="s">
        <v>29</v>
      </c>
      <c r="B83" s="115" t="s">
        <v>114</v>
      </c>
      <c r="F83" s="134">
        <v>6.79</v>
      </c>
      <c r="G83" s="135">
        <f>INT($F$83)</f>
        <v>6</v>
      </c>
      <c r="H83" s="136">
        <f>INT(($F$83-(INT($F$83)))*60)</f>
        <v>47</v>
      </c>
      <c r="I83" s="137">
        <f>(($J$83-(INT($J$83)))*60)</f>
        <v>24.00000000000034</v>
      </c>
      <c r="J83" s="138">
        <f>($F$83-(INT($F$83)))*60</f>
        <v>47.400000000000006</v>
      </c>
      <c r="K83" s="19" t="s">
        <v>139</v>
      </c>
    </row>
    <row r="84" spans="1:10" ht="12.75">
      <c r="A84" s="52" t="s">
        <v>69</v>
      </c>
      <c r="B84" s="103">
        <v>60</v>
      </c>
      <c r="C84" s="118">
        <f>B84/3.7853</f>
        <v>15.850791218661666</v>
      </c>
      <c r="D84" s="6" t="s">
        <v>70</v>
      </c>
      <c r="F84" s="7"/>
      <c r="G84" s="8"/>
      <c r="H84" s="8"/>
      <c r="I84" s="8"/>
      <c r="J84" s="139"/>
    </row>
    <row r="85" spans="1:10" ht="13.5" thickBot="1">
      <c r="A85" s="7" t="s">
        <v>70</v>
      </c>
      <c r="B85" s="47">
        <v>1</v>
      </c>
      <c r="C85" s="55">
        <f>B85*3.7853</f>
        <v>3.7853</v>
      </c>
      <c r="D85" s="11" t="s">
        <v>69</v>
      </c>
      <c r="F85" s="7"/>
      <c r="G85" s="9" t="s">
        <v>78</v>
      </c>
      <c r="H85" s="10" t="s">
        <v>75</v>
      </c>
      <c r="I85" s="10" t="s">
        <v>76</v>
      </c>
      <c r="J85" s="140" t="s">
        <v>1</v>
      </c>
    </row>
    <row r="86" spans="1:10" ht="13.5" thickBot="1">
      <c r="A86" s="7"/>
      <c r="B86" s="37"/>
      <c r="C86" s="8"/>
      <c r="D86" s="11"/>
      <c r="F86" s="7" t="s">
        <v>77</v>
      </c>
      <c r="G86" s="126">
        <v>48</v>
      </c>
      <c r="H86" s="126">
        <v>20</v>
      </c>
      <c r="I86" s="127">
        <v>50.968</v>
      </c>
      <c r="J86" s="128">
        <f>$G$86+($H$86/60)+(($I$86/60)/60)</f>
        <v>48.34749111111111</v>
      </c>
    </row>
    <row r="87" spans="1:10" ht="13.5" thickBot="1">
      <c r="A87" s="7" t="s">
        <v>72</v>
      </c>
      <c r="B87" s="47">
        <v>1</v>
      </c>
      <c r="C87" s="54">
        <f>B87*264.2</f>
        <v>264.2</v>
      </c>
      <c r="D87" s="11" t="s">
        <v>70</v>
      </c>
      <c r="F87" s="96">
        <v>48.3474911</v>
      </c>
      <c r="G87" s="135">
        <f>INT($F$87)</f>
        <v>48</v>
      </c>
      <c r="H87" s="136">
        <f>INT(($F$87-(INT($F$87)))*60)</f>
        <v>20</v>
      </c>
      <c r="I87" s="137">
        <f>(($J$87-(INT($J$87)))*60)</f>
        <v>50.96795999999699</v>
      </c>
      <c r="J87" s="144">
        <f>($F$87-(INT($F$87)))*60</f>
        <v>20.84946599999995</v>
      </c>
    </row>
    <row r="88" spans="1:4" ht="13.5" thickBot="1">
      <c r="A88" s="7" t="s">
        <v>70</v>
      </c>
      <c r="B88" s="47">
        <v>1</v>
      </c>
      <c r="C88" s="83">
        <f>B88/264.2</f>
        <v>0.003785011355034065</v>
      </c>
      <c r="D88" s="11" t="s">
        <v>72</v>
      </c>
    </row>
    <row r="89" spans="1:4" ht="13.5" thickBot="1">
      <c r="A89" s="7"/>
      <c r="B89" s="37"/>
      <c r="C89" s="8"/>
      <c r="D89" s="11"/>
    </row>
    <row r="90" spans="1:6" ht="13.5" thickBot="1">
      <c r="A90" s="7" t="s">
        <v>158</v>
      </c>
      <c r="B90" s="47">
        <v>1</v>
      </c>
      <c r="C90" s="124">
        <f>B90*158.98722</f>
        <v>158.98722</v>
      </c>
      <c r="D90" s="11" t="s">
        <v>69</v>
      </c>
      <c r="F90" s="115" t="s">
        <v>157</v>
      </c>
    </row>
    <row r="91" spans="1:9" ht="13.5" thickBot="1">
      <c r="A91" s="7" t="s">
        <v>69</v>
      </c>
      <c r="B91" s="47">
        <v>1</v>
      </c>
      <c r="C91" s="83">
        <f>B91/158.98722</f>
        <v>0.006289813734714022</v>
      </c>
      <c r="D91" s="11" t="s">
        <v>158</v>
      </c>
      <c r="F91" s="52" t="s">
        <v>151</v>
      </c>
      <c r="G91" s="152">
        <v>1</v>
      </c>
      <c r="H91" s="118">
        <f>G91*0.980661358</f>
        <v>0.980661358</v>
      </c>
      <c r="I91" s="6" t="s">
        <v>152</v>
      </c>
    </row>
    <row r="92" spans="1:9" ht="13.5" thickBot="1">
      <c r="A92" s="7"/>
      <c r="B92" s="37"/>
      <c r="C92" s="8"/>
      <c r="D92" s="11"/>
      <c r="F92" s="7" t="s">
        <v>152</v>
      </c>
      <c r="G92" s="153">
        <v>1</v>
      </c>
      <c r="H92" s="121">
        <f>G92/0.980661358</f>
        <v>1.0197200000206392</v>
      </c>
      <c r="I92" s="11" t="s">
        <v>151</v>
      </c>
    </row>
    <row r="93" spans="1:9" ht="12.75">
      <c r="A93" s="7" t="s">
        <v>158</v>
      </c>
      <c r="B93" s="47">
        <v>1</v>
      </c>
      <c r="C93" s="118">
        <f>B93*42</f>
        <v>42</v>
      </c>
      <c r="D93" s="11" t="s">
        <v>113</v>
      </c>
      <c r="F93" s="7" t="s">
        <v>151</v>
      </c>
      <c r="G93" s="154">
        <v>1</v>
      </c>
      <c r="H93" s="155">
        <f>G93*980.661358</f>
        <v>980.661358</v>
      </c>
      <c r="I93" s="71" t="s">
        <v>153</v>
      </c>
    </row>
    <row r="94" spans="1:9" ht="13.5" thickBot="1">
      <c r="A94" s="14" t="s">
        <v>113</v>
      </c>
      <c r="B94" s="73">
        <v>1</v>
      </c>
      <c r="C94" s="83">
        <f>B94/42</f>
        <v>0.023809523809523808</v>
      </c>
      <c r="D94" s="18" t="s">
        <v>158</v>
      </c>
      <c r="F94" s="7" t="s">
        <v>153</v>
      </c>
      <c r="G94" s="157">
        <v>1</v>
      </c>
      <c r="H94" s="158">
        <f>G94/980.661358</f>
        <v>0.001019720000020639</v>
      </c>
      <c r="I94" s="78" t="s">
        <v>151</v>
      </c>
    </row>
    <row r="95" spans="6:9" ht="12.75">
      <c r="F95" s="7" t="s">
        <v>151</v>
      </c>
      <c r="G95" s="160">
        <v>1</v>
      </c>
      <c r="H95" s="121">
        <f>G95*735.55650835</f>
        <v>735.55650835</v>
      </c>
      <c r="I95" s="11" t="s">
        <v>154</v>
      </c>
    </row>
    <row r="96" spans="1:9" ht="13.5" thickBot="1">
      <c r="A96" s="115" t="s">
        <v>150</v>
      </c>
      <c r="F96" s="7" t="s">
        <v>154</v>
      </c>
      <c r="G96" s="153">
        <v>1</v>
      </c>
      <c r="H96" s="121">
        <f>G96/735.5565084</f>
        <v>0.0013595148551879771</v>
      </c>
      <c r="I96" s="11" t="s">
        <v>151</v>
      </c>
    </row>
    <row r="97" spans="1:9" ht="13.5" thickBot="1">
      <c r="A97" s="130" t="s">
        <v>161</v>
      </c>
      <c r="B97" s="131">
        <v>1</v>
      </c>
      <c r="C97" s="132">
        <f>B97*0.4251</f>
        <v>0.4251</v>
      </c>
      <c r="D97" s="133" t="s">
        <v>25</v>
      </c>
      <c r="F97" s="7" t="s">
        <v>152</v>
      </c>
      <c r="G97" s="154">
        <v>1</v>
      </c>
      <c r="H97" s="155">
        <f>G97*750.0616827</f>
        <v>750.0616827</v>
      </c>
      <c r="I97" s="71" t="s">
        <v>154</v>
      </c>
    </row>
    <row r="98" spans="6:9" ht="12.75">
      <c r="F98" s="49" t="s">
        <v>154</v>
      </c>
      <c r="G98" s="157">
        <v>1</v>
      </c>
      <c r="H98" s="158">
        <f>G98*1.3332236842</f>
        <v>1.3332236842</v>
      </c>
      <c r="I98" s="78" t="s">
        <v>153</v>
      </c>
    </row>
    <row r="99" spans="1:9" ht="13.5" thickBot="1">
      <c r="A99" s="115" t="s">
        <v>16</v>
      </c>
      <c r="F99" s="7" t="s">
        <v>155</v>
      </c>
      <c r="G99" s="160">
        <v>100</v>
      </c>
      <c r="H99" s="121">
        <f>G99/100*0.7500616827</f>
        <v>0.7500616827</v>
      </c>
      <c r="I99" s="11" t="s">
        <v>154</v>
      </c>
    </row>
    <row r="100" spans="1:9" ht="13.5" thickBot="1">
      <c r="A100" s="52" t="s">
        <v>17</v>
      </c>
      <c r="B100" s="141">
        <v>1</v>
      </c>
      <c r="C100" s="142">
        <f>B100*1000</f>
        <v>1000</v>
      </c>
      <c r="D100" s="6" t="s">
        <v>69</v>
      </c>
      <c r="F100" s="14" t="s">
        <v>154</v>
      </c>
      <c r="G100" s="161">
        <v>1</v>
      </c>
      <c r="H100" s="83">
        <f>G100*133.3223684</f>
        <v>133.3223684</v>
      </c>
      <c r="I100" s="18" t="s">
        <v>156</v>
      </c>
    </row>
    <row r="101" spans="1:4" ht="13.5" thickBot="1">
      <c r="A101" s="14" t="s">
        <v>69</v>
      </c>
      <c r="B101" s="143">
        <v>1</v>
      </c>
      <c r="C101" s="15">
        <f>B101/1000</f>
        <v>0.001</v>
      </c>
      <c r="D101" s="18" t="s">
        <v>17</v>
      </c>
    </row>
    <row r="102" spans="6:9" ht="12.75">
      <c r="F102" s="4" t="s">
        <v>14</v>
      </c>
      <c r="G102" s="5"/>
      <c r="H102" s="5"/>
      <c r="I102" s="6"/>
    </row>
    <row r="103" spans="6:9" ht="13.5" thickBot="1">
      <c r="F103" s="14" t="s">
        <v>15</v>
      </c>
      <c r="G103" s="15">
        <v>101.325</v>
      </c>
      <c r="H103" s="30">
        <v>759.9999999969</v>
      </c>
      <c r="I103" s="18" t="s">
        <v>154</v>
      </c>
    </row>
    <row r="104" spans="1:2" ht="13.5" thickBot="1">
      <c r="A104" s="115" t="s">
        <v>29</v>
      </c>
      <c r="B104" s="115" t="s">
        <v>115</v>
      </c>
    </row>
    <row r="105" spans="1:4" ht="12.75">
      <c r="A105" s="52" t="s">
        <v>69</v>
      </c>
      <c r="B105" s="103">
        <v>60</v>
      </c>
      <c r="C105" s="118">
        <f>B105/4.545</f>
        <v>13.201320132013201</v>
      </c>
      <c r="D105" s="6" t="s">
        <v>71</v>
      </c>
    </row>
    <row r="106" spans="1:6" ht="13.5" thickBot="1">
      <c r="A106" s="7" t="s">
        <v>71</v>
      </c>
      <c r="B106" s="47">
        <v>1</v>
      </c>
      <c r="C106" s="83">
        <f>B106*4.545</f>
        <v>4.545</v>
      </c>
      <c r="D106" s="11" t="s">
        <v>69</v>
      </c>
      <c r="F106" s="115" t="s">
        <v>131</v>
      </c>
    </row>
    <row r="107" spans="1:10" ht="13.5" thickBot="1">
      <c r="A107" s="7"/>
      <c r="B107" s="37"/>
      <c r="C107" s="8"/>
      <c r="D107" s="11"/>
      <c r="F107" s="52" t="s">
        <v>80</v>
      </c>
      <c r="G107" s="22" t="s">
        <v>132</v>
      </c>
      <c r="H107" s="22" t="s">
        <v>133</v>
      </c>
      <c r="I107" s="22" t="s">
        <v>134</v>
      </c>
      <c r="J107" s="6"/>
    </row>
    <row r="108" spans="1:10" ht="13.5" thickBot="1">
      <c r="A108" s="7" t="s">
        <v>72</v>
      </c>
      <c r="B108" s="47">
        <v>1</v>
      </c>
      <c r="C108" s="54">
        <f>B108*220.022002</f>
        <v>220.022002</v>
      </c>
      <c r="D108" s="11" t="s">
        <v>71</v>
      </c>
      <c r="F108" s="7" t="s">
        <v>79</v>
      </c>
      <c r="G108" s="47">
        <v>20</v>
      </c>
      <c r="H108" s="145">
        <f>((G108*0.71173-2.55)*1.267)/(100+(G108*0.71173-2.55)*0.267)*100</f>
        <v>14.35649593392008</v>
      </c>
      <c r="I108" s="137">
        <f>G108*4.86</f>
        <v>97.2</v>
      </c>
      <c r="J108" s="11"/>
    </row>
    <row r="109" spans="1:10" ht="13.5" thickBot="1">
      <c r="A109" s="14" t="s">
        <v>71</v>
      </c>
      <c r="B109" s="73">
        <v>1</v>
      </c>
      <c r="C109" s="83">
        <f>B109/220.022002</f>
        <v>0.004545000004135951</v>
      </c>
      <c r="D109" s="18" t="s">
        <v>72</v>
      </c>
      <c r="F109" s="7"/>
      <c r="G109" s="8"/>
      <c r="H109" s="8"/>
      <c r="I109" s="8"/>
      <c r="J109" s="11"/>
    </row>
    <row r="110" spans="2:10" ht="13.5" thickBot="1">
      <c r="B110" s="19"/>
      <c r="F110" s="146" t="s">
        <v>134</v>
      </c>
      <c r="G110" s="10" t="s">
        <v>135</v>
      </c>
      <c r="H110" s="8"/>
      <c r="I110" s="8"/>
      <c r="J110" s="11"/>
    </row>
    <row r="111" spans="2:10" ht="13.5" thickBot="1">
      <c r="B111" s="19"/>
      <c r="F111" s="147">
        <v>83</v>
      </c>
      <c r="G111" s="74">
        <f>F111+1000</f>
        <v>1083</v>
      </c>
      <c r="H111" s="15"/>
      <c r="I111" s="15"/>
      <c r="J111" s="18"/>
    </row>
    <row r="112" spans="1:2" ht="13.5" thickBot="1">
      <c r="A112" s="115" t="s">
        <v>59</v>
      </c>
      <c r="B112" s="19"/>
    </row>
    <row r="113" spans="1:4" ht="13.5" thickBot="1">
      <c r="A113" s="52" t="s">
        <v>60</v>
      </c>
      <c r="B113" s="148">
        <v>1</v>
      </c>
      <c r="C113" s="54">
        <f>B113*0.032151</f>
        <v>0.032151</v>
      </c>
      <c r="D113" s="6" t="s">
        <v>64</v>
      </c>
    </row>
    <row r="114" spans="1:10" ht="13.5" thickBot="1">
      <c r="A114" s="7" t="s">
        <v>64</v>
      </c>
      <c r="B114" s="149">
        <v>1</v>
      </c>
      <c r="C114" s="77">
        <f>B114/0.032151</f>
        <v>31.10323162576592</v>
      </c>
      <c r="D114" s="78" t="s">
        <v>60</v>
      </c>
      <c r="J114" s="150" t="s">
        <v>43</v>
      </c>
    </row>
    <row r="115" spans="1:4" ht="12.75">
      <c r="A115" s="7" t="s">
        <v>61</v>
      </c>
      <c r="B115" s="151">
        <v>1</v>
      </c>
      <c r="C115" s="70">
        <f>B115*35.273962</f>
        <v>35.273962</v>
      </c>
      <c r="D115" s="71" t="s">
        <v>65</v>
      </c>
    </row>
    <row r="116" spans="1:4" ht="12.75">
      <c r="A116" s="7" t="s">
        <v>65</v>
      </c>
      <c r="B116" s="149">
        <v>1</v>
      </c>
      <c r="C116" s="77">
        <f>B116*28.34923</f>
        <v>28.34923</v>
      </c>
      <c r="D116" s="78" t="s">
        <v>60</v>
      </c>
    </row>
    <row r="117" spans="1:4" ht="12.75">
      <c r="A117" s="7" t="s">
        <v>62</v>
      </c>
      <c r="B117" s="151">
        <v>1</v>
      </c>
      <c r="C117" s="70">
        <f>B117*2.204623</f>
        <v>2.204623</v>
      </c>
      <c r="D117" s="71" t="s">
        <v>65</v>
      </c>
    </row>
    <row r="118" spans="1:11" ht="12.75">
      <c r="A118" s="7" t="s">
        <v>68</v>
      </c>
      <c r="B118" s="149">
        <v>1</v>
      </c>
      <c r="C118" s="77">
        <f>B118*453.59237</f>
        <v>453.59237</v>
      </c>
      <c r="D118" s="78" t="s">
        <v>60</v>
      </c>
      <c r="K118" s="20"/>
    </row>
    <row r="119" spans="1:4" ht="12.75">
      <c r="A119" s="7" t="s">
        <v>63</v>
      </c>
      <c r="B119" s="151">
        <v>1</v>
      </c>
      <c r="C119" s="70">
        <f>B119*1.102311</f>
        <v>1.102311</v>
      </c>
      <c r="D119" s="71" t="s">
        <v>67</v>
      </c>
    </row>
    <row r="120" spans="1:4" ht="12.75">
      <c r="A120" s="7" t="s">
        <v>67</v>
      </c>
      <c r="B120" s="149">
        <v>1</v>
      </c>
      <c r="C120" s="77">
        <f>B120*0.907185</f>
        <v>0.907185</v>
      </c>
      <c r="D120" s="78" t="s">
        <v>63</v>
      </c>
    </row>
    <row r="121" spans="1:11" ht="12.75">
      <c r="A121" s="7" t="s">
        <v>63</v>
      </c>
      <c r="B121" s="156">
        <v>1</v>
      </c>
      <c r="C121" s="80">
        <f>B121*0.984207</f>
        <v>0.984207</v>
      </c>
      <c r="D121" s="11" t="s">
        <v>66</v>
      </c>
      <c r="K121" s="20"/>
    </row>
    <row r="122" spans="1:4" ht="13.5" thickBot="1">
      <c r="A122" s="14" t="s">
        <v>66</v>
      </c>
      <c r="B122" s="159">
        <v>1</v>
      </c>
      <c r="C122" s="55">
        <f>B122*1.016047</f>
        <v>1.016047</v>
      </c>
      <c r="D122" s="18" t="s">
        <v>63</v>
      </c>
    </row>
    <row r="125" spans="1:3" ht="12.75">
      <c r="A125" t="s">
        <v>24</v>
      </c>
      <c r="B125" t="s">
        <v>127</v>
      </c>
      <c r="C125" t="s">
        <v>23</v>
      </c>
    </row>
    <row r="126" ht="12.75">
      <c r="K126" s="20"/>
    </row>
    <row r="127" ht="13.5" thickBot="1">
      <c r="A127" s="115" t="s">
        <v>32</v>
      </c>
    </row>
    <row r="128" spans="1:4" ht="12.75">
      <c r="A128" s="52" t="s">
        <v>33</v>
      </c>
      <c r="B128" s="152">
        <v>1</v>
      </c>
      <c r="C128" s="54">
        <f>B128*0.01</f>
        <v>0.01</v>
      </c>
      <c r="D128" s="6" t="s">
        <v>34</v>
      </c>
    </row>
    <row r="129" spans="1:4" ht="12.75">
      <c r="A129" s="7" t="s">
        <v>34</v>
      </c>
      <c r="B129" s="153">
        <v>1</v>
      </c>
      <c r="C129" s="80">
        <f>B129/0.01</f>
        <v>100</v>
      </c>
      <c r="D129" s="11" t="s">
        <v>33</v>
      </c>
    </row>
    <row r="130" spans="1:4" ht="12.75">
      <c r="A130" s="7" t="s">
        <v>35</v>
      </c>
      <c r="B130" s="154">
        <v>1</v>
      </c>
      <c r="C130" s="70">
        <f>B130*10000</f>
        <v>10000</v>
      </c>
      <c r="D130" s="71" t="s">
        <v>33</v>
      </c>
    </row>
    <row r="131" spans="1:4" ht="12.75">
      <c r="A131" s="162" t="s">
        <v>35</v>
      </c>
      <c r="B131" s="157">
        <v>1</v>
      </c>
      <c r="C131" s="158">
        <f>B131*100</f>
        <v>100</v>
      </c>
      <c r="D131" s="163" t="s">
        <v>34</v>
      </c>
    </row>
    <row r="132" spans="1:4" ht="13.5" thickBot="1">
      <c r="A132" s="7" t="s">
        <v>33</v>
      </c>
      <c r="B132" s="160">
        <v>1</v>
      </c>
      <c r="C132" s="80">
        <f>B132/10000</f>
        <v>0.0001</v>
      </c>
      <c r="D132" s="11" t="s">
        <v>35</v>
      </c>
    </row>
    <row r="133" spans="1:8" ht="13.5" thickBot="1">
      <c r="A133" s="7" t="s">
        <v>36</v>
      </c>
      <c r="B133" s="153">
        <v>1</v>
      </c>
      <c r="C133" s="80">
        <f>B133*100</f>
        <v>100</v>
      </c>
      <c r="D133" s="11" t="s">
        <v>35</v>
      </c>
      <c r="F133" s="1" t="s">
        <v>81</v>
      </c>
      <c r="G133" s="2" t="s">
        <v>104</v>
      </c>
      <c r="H133" s="3" t="s">
        <v>0</v>
      </c>
    </row>
    <row r="134" spans="1:4" ht="12.75">
      <c r="A134" s="7" t="s">
        <v>35</v>
      </c>
      <c r="B134" s="154">
        <v>1</v>
      </c>
      <c r="C134" s="70">
        <f>B134/100</f>
        <v>0.01</v>
      </c>
      <c r="D134" s="71" t="s">
        <v>36</v>
      </c>
    </row>
    <row r="135" spans="1:4" ht="13.5" thickBot="1">
      <c r="A135" s="119" t="s">
        <v>36</v>
      </c>
      <c r="B135" s="157">
        <v>1</v>
      </c>
      <c r="C135" s="55">
        <v>1000000</v>
      </c>
      <c r="D135" s="78" t="s">
        <v>33</v>
      </c>
    </row>
    <row r="136" spans="1:4" ht="12.75">
      <c r="A136" s="7"/>
      <c r="B136" s="8"/>
      <c r="C136" s="8"/>
      <c r="D136" s="11"/>
    </row>
    <row r="137" spans="1:4" ht="12.75">
      <c r="A137" s="41" t="s">
        <v>37</v>
      </c>
      <c r="B137" s="8"/>
      <c r="C137" s="8"/>
      <c r="D137" s="11"/>
    </row>
    <row r="138" spans="1:4" ht="12.75">
      <c r="A138" s="7" t="s">
        <v>35</v>
      </c>
      <c r="B138" s="164">
        <v>1</v>
      </c>
      <c r="C138" s="8">
        <f>B138*2.4711</f>
        <v>2.4711</v>
      </c>
      <c r="D138" s="11" t="s">
        <v>38</v>
      </c>
    </row>
    <row r="139" spans="1:4" ht="12.75">
      <c r="A139" s="7" t="s">
        <v>38</v>
      </c>
      <c r="B139" s="164">
        <v>1</v>
      </c>
      <c r="C139" s="8">
        <f>B139/2.4711</f>
        <v>0.40467807858848287</v>
      </c>
      <c r="D139" s="11" t="s">
        <v>35</v>
      </c>
    </row>
    <row r="140" spans="1:4" ht="12.75">
      <c r="A140" s="7" t="s">
        <v>36</v>
      </c>
      <c r="B140" s="164">
        <v>1</v>
      </c>
      <c r="C140" s="8">
        <f>B140/2.589</f>
        <v>0.3862495171881035</v>
      </c>
      <c r="D140" s="11" t="s">
        <v>39</v>
      </c>
    </row>
    <row r="141" spans="1:4" ht="12.75">
      <c r="A141" s="119" t="s">
        <v>40</v>
      </c>
      <c r="B141" s="165">
        <v>1</v>
      </c>
      <c r="C141" s="166">
        <f>B141*2.589</f>
        <v>2.589</v>
      </c>
      <c r="D141" s="78" t="s">
        <v>36</v>
      </c>
    </row>
    <row r="142" spans="1:4" ht="12.75">
      <c r="A142" s="7"/>
      <c r="B142" s="8"/>
      <c r="C142" s="8"/>
      <c r="D142" s="11"/>
    </row>
    <row r="143" spans="1:4" ht="12.75">
      <c r="A143" s="41" t="s">
        <v>115</v>
      </c>
      <c r="B143" s="8"/>
      <c r="C143" s="8"/>
      <c r="D143" s="11"/>
    </row>
    <row r="144" spans="1:4" ht="12.75">
      <c r="A144" s="7" t="s">
        <v>33</v>
      </c>
      <c r="B144" s="164">
        <v>1</v>
      </c>
      <c r="C144" s="8">
        <f>B144/0.8361</f>
        <v>1.196029183112068</v>
      </c>
      <c r="D144" s="11" t="s">
        <v>41</v>
      </c>
    </row>
    <row r="145" spans="1:4" ht="13.5" thickBot="1">
      <c r="A145" s="14" t="s">
        <v>41</v>
      </c>
      <c r="B145" s="143">
        <v>1</v>
      </c>
      <c r="C145" s="15">
        <f>B145*0.8361</f>
        <v>0.8361</v>
      </c>
      <c r="D145" s="18" t="s">
        <v>33</v>
      </c>
    </row>
  </sheetData>
  <sheetProtection/>
  <mergeCells count="5">
    <mergeCell ref="N5:O5"/>
    <mergeCell ref="M63:O63"/>
    <mergeCell ref="E1:J1"/>
    <mergeCell ref="J31:K31"/>
    <mergeCell ref="J34:K34"/>
  </mergeCells>
  <dataValidations count="17">
    <dataValidation type="textLength" allowBlank="1" showInputMessage="1" showErrorMessage="1" errorTitle="Hier steht eine Formel!" error="Hier steht eine Formel!" sqref="C54:C55 J82 J24:J25">
      <formula1>0</formula1>
      <formula2>0</formula2>
    </dataValidation>
    <dataValidation type="textLength" allowBlank="1" showInputMessage="1" showErrorMessage="1" error="Hier  steht ein Text!" sqref="A97">
      <formula1>0</formula1>
      <formula2>0</formula2>
    </dataValidation>
    <dataValidation type="textLength" allowBlank="1" showInputMessage="1" showErrorMessage="1" error="Hiert steht ein Text!" sqref="L63">
      <formula1>0</formula1>
      <formula2>0</formula2>
    </dataValidation>
    <dataValidation allowBlank="1" showInputMessage="1" showErrorMessage="1" error="Her steht ein Text!" sqref="F107"/>
    <dataValidation type="textLength" allowBlank="1" showInputMessage="1" showErrorMessage="1" error="Hier steht eine Zahl!" sqref="M63:O63">
      <formula1>0</formula1>
      <formula2>0</formula2>
    </dataValidation>
    <dataValidation type="textLength" allowBlank="1" showInputMessage="1" showErrorMessage="1" error="Hier ist eine Formel!" sqref="J4 D39:F39">
      <formula1>0</formula1>
      <formula2>0</formula2>
    </dataValidation>
    <dataValidation type="textLength" allowBlank="1" showInputMessage="1" showErrorMessage="1" error="Hier steht eine Formel, du Trottel!" sqref="E37:E38 F37 D29:F30 E18:F27 D24:D27 D20:D22 D18 D32:F36 D37">
      <formula1>0</formula1>
      <formula2>0</formula2>
    </dataValidation>
    <dataValidation allowBlank="1" showInputMessage="1" showErrorMessage="1" error="Hier steht ein Text!" sqref="G70 G72"/>
    <dataValidation allowBlank="1" showInputMessage="1" showErrorMessage="1" error="Hier steht eine Formel!" sqref="G71 G73"/>
    <dataValidation type="textLength" allowBlank="1" showInputMessage="1" showErrorMessage="1" errorTitle="Hier steht eine Formel!" error="Hier steht eine Formel" sqref="J86">
      <formula1>0</formula1>
      <formula2>0</formula2>
    </dataValidation>
    <dataValidation type="textLength" allowBlank="1" showInputMessage="1" showErrorMessage="1" error="Das ist eine Formel!" sqref="N43:N44 O46">
      <formula1>0</formula1>
      <formula2>0</formula2>
    </dataValidation>
    <dataValidation type="textLength" allowBlank="1" showInputMessage="1" showErrorMessage="1" error="Her steht ein Text!" sqref="G107:I107">
      <formula1>0</formula1>
      <formula2>0</formula2>
    </dataValidation>
    <dataValidation type="textLength" allowBlank="1" showInputMessage="1" showErrorMessage="1" error="Hier steht eine Formel, Du Trottel!" sqref="D8:E8">
      <formula1>0</formula1>
      <formula2>0</formula2>
    </dataValidation>
    <dataValidation type="textLength" allowBlank="1" showInputMessage="1" showErrorMessage="1" error="Hier steht eine Formel, Du Trottel" sqref="D12:E13 D5:E5 D15:E15">
      <formula1>0</formula1>
      <formula2>0</formula2>
    </dataValidation>
    <dataValidation type="textLength" allowBlank="1" showInputMessage="1" showErrorMessage="1" error="Hier steht ein Text" sqref="F91:F100 A125:C125 F102:I103 F110:G110 K80 J81:K81 M45:N45 L43:L49 F106">
      <formula1>0</formula1>
      <formula2>0</formula2>
    </dataValidation>
    <dataValidation type="textLength" allowBlank="1" showInputMessage="1" showErrorMessage="1" error="Hier steht ein Text!" sqref="I91:I100 G85:J85 G81:I81 F86 F82 K83 A105:A109 A113:A122 C31:F31 C28:F28 C23:D23 C19:D19 C14:E14 C11:E11 C4:E4 A3:A39 J3 I11:J11 H3:H14 L6:L12 A45:A69 A72:A77 D84:D94 A84:A94 H54:H63 N8:N11 D97 N3:P6 H30:I30 I60 A99:A101 D100:D101 I55 H19:H25 N20:N29 O26 O21">
      <formula1>0</formula1>
      <formula2>0</formula2>
    </dataValidation>
    <dataValidation type="textLength" allowBlank="1" showInputMessage="1" showErrorMessage="1" error="Hier steht eine Formel!" sqref="H91:H100 C104:D122 G87:J87 K82 G83:J83 H68:I73 D56:D81 C81 A131:D131 J49 K6:K7 J5 J44 K40 J39 K9:K12 C45:D53 C97 C56:C79 C84:C94 N68:O76 O47 N49 C100:C101 I31:I34 J30:K34 J55:J63 P8:Q11 J19:K23 P21:P29">
      <formula1>0</formula1>
      <formula2>0</formula2>
    </dataValidation>
  </dataValidations>
  <printOptions/>
  <pageMargins left="0.787401575" right="0.787401575" top="0.984251969" bottom="0.984251969" header="0.4921259845" footer="0.492125984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Praktische Berechnungen</dc:title>
  <dc:subject/>
  <dc:creator>Ing Bican Michael</dc:creator>
  <cp:keywords/>
  <dc:description/>
  <cp:lastModifiedBy>Bican</cp:lastModifiedBy>
  <dcterms:created xsi:type="dcterms:W3CDTF">2007-04-25T14:44:42Z</dcterms:created>
  <dcterms:modified xsi:type="dcterms:W3CDTF">2014-05-24T15:16:20Z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